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ricardogroup-my.sharepoint.com/personal/nikolas_hill_ricardo_com/Documents/Documents/Admin/Knowledge Leadership/LCA/UNECE IWG A-LCA/SG4 Use/"/>
    </mc:Choice>
  </mc:AlternateContent>
  <xr:revisionPtr revIDLastSave="323" documentId="8_{DBA1300D-B6E5-4041-9597-DF95AF8C1540}" xr6:coauthVersionLast="47" xr6:coauthVersionMax="47" xr10:uidLastSave="{8371B307-9C0A-4B4A-A779-FA508168358D}"/>
  <bookViews>
    <workbookView xWindow="-120" yWindow="-120" windowWidth="29040" windowHeight="15720" tabRatio="608" xr2:uid="{00000000-000D-0000-FFFF-FFFF00000000}"/>
  </bookViews>
  <sheets>
    <sheet name="PHEV Worked Example" sheetId="24" r:id="rId1"/>
    <sheet name="WLTP Certification" sheetId="26" r:id="rId2"/>
  </sheets>
  <definedNames>
    <definedName name="n_BatteryCapacity_Average">'PHEV Worked Example'!$C$61</definedName>
    <definedName name="n_BatteryCapacity_EoL">'PHEV Worked Example'!$C$60</definedName>
    <definedName name="n_BatteryCapacity_start">'PHEV Worked Example'!$C$26</definedName>
    <definedName name="n_BatterySoH_EoL">'PHEV Worked Example'!$C$27</definedName>
    <definedName name="n_CO2_Certification">'PHEV Worked Example'!$C$82</definedName>
    <definedName name="n_EEC_Certification">'PHEV Worked Example'!$C$81</definedName>
    <definedName name="n_EEC_Certification_CD">'PHEV Worked Example'!$G$9</definedName>
    <definedName name="n_EEC_Certification_CD_MJperkm">'PHEV Worked Example'!$C$9</definedName>
    <definedName name="n_EEC_InUse">'PHEV Worked Example'!$C$73</definedName>
    <definedName name="n_EEC_InUse_CD_MJperkm">'PHEV Worked Example'!$C$65</definedName>
    <definedName name="n_ElectricRangeDeterioration">'PHEV Worked Example'!#REF!</definedName>
    <definedName name="n_f_deterioration_electricity_CD">'PHEV Worked Example'!$C$17</definedName>
    <definedName name="n_f_deterioration_fuel_CD">'PHEV Worked Example'!$C$18</definedName>
    <definedName name="n_f_deterioration_fuel_CS">'PHEV Worked Example'!$C$19</definedName>
    <definedName name="n_f_discrepancy_electricity_CD">'PHEV Worked Example'!$C$13</definedName>
    <definedName name="n_f_discrepancy_fuel_CD">'PHEV Worked Example'!$C$14</definedName>
    <definedName name="n_f_discrepancy_fuel_CS">'PHEV Worked Example'!$C$15</definedName>
    <definedName name="n_FEC_Certification">'PHEV Worked Example'!$C$80</definedName>
    <definedName name="n_FEC_Certification_CD">'PHEV Worked Example'!$G$10</definedName>
    <definedName name="n_FEC_Certification_CD_MJperkm">'PHEV Worked Example'!$C$10</definedName>
    <definedName name="n_FEC_Certification_CS">'PHEV Worked Example'!$G$11</definedName>
    <definedName name="n_FEC_Certification_CS_MJperkm">'PHEV Worked Example'!$C$11</definedName>
    <definedName name="n_FEC_InUse">'PHEV Worked Example'!$C$72</definedName>
    <definedName name="n_FEC_InUse_CD_MJperkm">'PHEV Worked Example'!$C$66</definedName>
    <definedName name="n_FEC_InUse_CS_MJperkm">'PHEV Worked Example'!$C$67</definedName>
    <definedName name="n_Fuel_MJ_per_litre">'PHEV Worked Example'!$J$10</definedName>
    <definedName name="n_Gasoline_TailpipeCO2">'PHEV Worked Example'!$G$82</definedName>
    <definedName name="n_MJ_per_kWh">'PHEV Worked Example'!$J$9</definedName>
    <definedName name="n_Range_certification_CD">'PHEV Worked Example'!$C$21</definedName>
    <definedName name="n_Range_certification_electric">'PHEV Worked Example'!$C$25</definedName>
    <definedName name="n_Range_InUse_CD">'PHEV Worked Example'!$C$69</definedName>
    <definedName name="n_UF_certification_CD">'PHEV Worked Example'!$C$22</definedName>
    <definedName name="n_UF_InUse_CD">'PHEV Worked Example'!$C$70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8" i="26" l="1" a="1"/>
  <c r="O8" i="26" s="1"/>
  <c r="P8" i="26" a="1"/>
  <c r="P8" i="26" s="1"/>
  <c r="Q8" i="26" a="1"/>
  <c r="Q8" i="26" s="1"/>
  <c r="O9" i="26" a="1"/>
  <c r="O9" i="26" s="1"/>
  <c r="P9" i="26" a="1"/>
  <c r="P9" i="26" s="1"/>
  <c r="Q9" i="26" a="1"/>
  <c r="Q9" i="26" s="1"/>
  <c r="O10" i="26" a="1"/>
  <c r="O10" i="26" s="1"/>
  <c r="P10" i="26" a="1"/>
  <c r="P10" i="26" s="1"/>
  <c r="Q10" i="26" a="1"/>
  <c r="Q10" i="26" s="1"/>
  <c r="O11" i="26" a="1"/>
  <c r="O11" i="26" s="1"/>
  <c r="P11" i="26" a="1"/>
  <c r="P11" i="26" s="1"/>
  <c r="Q11" i="26" a="1"/>
  <c r="Q11" i="26" s="1"/>
  <c r="O12" i="26" a="1"/>
  <c r="O12" i="26" s="1"/>
  <c r="P12" i="26" a="1"/>
  <c r="P12" i="26" s="1"/>
  <c r="Q12" i="26" a="1"/>
  <c r="Q12" i="26" s="1"/>
  <c r="O13" i="26" a="1"/>
  <c r="O13" i="26" s="1"/>
  <c r="P13" i="26" a="1"/>
  <c r="P13" i="26" s="1"/>
  <c r="Q13" i="26" a="1"/>
  <c r="Q13" i="26" s="1"/>
  <c r="O14" i="26" a="1"/>
  <c r="O14" i="26" s="1"/>
  <c r="P14" i="26" a="1"/>
  <c r="P14" i="26" s="1"/>
  <c r="Q14" i="26" a="1"/>
  <c r="Q14" i="26" s="1"/>
  <c r="O15" i="26" a="1"/>
  <c r="O15" i="26"/>
  <c r="P15" i="26" a="1"/>
  <c r="P15" i="26" s="1"/>
  <c r="Q15" i="26" a="1"/>
  <c r="Q15" i="26" s="1"/>
  <c r="O16" i="26" a="1"/>
  <c r="O16" i="26" s="1"/>
  <c r="P16" i="26" a="1"/>
  <c r="P16" i="26" s="1"/>
  <c r="Q16" i="26" a="1"/>
  <c r="Q16" i="26" s="1"/>
  <c r="O17" i="26" a="1"/>
  <c r="O17" i="26" s="1"/>
  <c r="P17" i="26" a="1"/>
  <c r="P17" i="26" s="1"/>
  <c r="Q17" i="26" a="1"/>
  <c r="Q17" i="26" s="1"/>
  <c r="O18" i="26" a="1"/>
  <c r="O18" i="26" s="1"/>
  <c r="P18" i="26" a="1"/>
  <c r="P18" i="26" s="1"/>
  <c r="Q18" i="26" a="1"/>
  <c r="Q18" i="26" s="1"/>
  <c r="O19" i="26" a="1"/>
  <c r="O19" i="26" s="1"/>
  <c r="P19" i="26" a="1"/>
  <c r="P19" i="26" s="1"/>
  <c r="Q19" i="26" a="1"/>
  <c r="Q19" i="26" s="1"/>
  <c r="O20" i="26" a="1"/>
  <c r="O20" i="26" s="1"/>
  <c r="P20" i="26" a="1"/>
  <c r="P20" i="26" s="1"/>
  <c r="Q20" i="26" a="1"/>
  <c r="Q20" i="26" s="1"/>
  <c r="O21" i="26" a="1"/>
  <c r="O21" i="26" s="1"/>
  <c r="P21" i="26" a="1"/>
  <c r="P21" i="26" s="1"/>
  <c r="Q21" i="26" a="1"/>
  <c r="Q21" i="26"/>
  <c r="O22" i="26" a="1"/>
  <c r="O22" i="26" s="1"/>
  <c r="P22" i="26" a="1"/>
  <c r="P22" i="26" s="1"/>
  <c r="Q22" i="26" a="1"/>
  <c r="Q22" i="26" s="1"/>
  <c r="O23" i="26" a="1"/>
  <c r="O23" i="26" s="1"/>
  <c r="P23" i="26" a="1"/>
  <c r="P23" i="26" s="1"/>
  <c r="Q23" i="26" a="1"/>
  <c r="Q23" i="26" s="1"/>
  <c r="O24" i="26" a="1"/>
  <c r="O24" i="26" s="1"/>
  <c r="P24" i="26" a="1"/>
  <c r="P24" i="26" s="1"/>
  <c r="Q24" i="26" a="1"/>
  <c r="Q24" i="26" s="1"/>
  <c r="O25" i="26" a="1"/>
  <c r="O25" i="26" s="1"/>
  <c r="P25" i="26" a="1"/>
  <c r="P25" i="26" s="1"/>
  <c r="Q25" i="26" a="1"/>
  <c r="Q25" i="26" s="1"/>
  <c r="O26" i="26" a="1"/>
  <c r="O26" i="26"/>
  <c r="P26" i="26" a="1"/>
  <c r="P26" i="26" s="1"/>
  <c r="Q26" i="26" a="1"/>
  <c r="Q26" i="26" s="1"/>
  <c r="O27" i="26" a="1"/>
  <c r="O27" i="26"/>
  <c r="P27" i="26" a="1"/>
  <c r="P27" i="26" s="1"/>
  <c r="Q27" i="26" a="1"/>
  <c r="Q27" i="26" s="1"/>
  <c r="O28" i="26" a="1"/>
  <c r="O28" i="26" s="1"/>
  <c r="P28" i="26" a="1"/>
  <c r="P28" i="26" s="1"/>
  <c r="Q28" i="26" a="1"/>
  <c r="Q28" i="26" s="1"/>
  <c r="O29" i="26" a="1"/>
  <c r="O29" i="26" s="1"/>
  <c r="P29" i="26" a="1"/>
  <c r="P29" i="26" s="1"/>
  <c r="Q29" i="26" a="1"/>
  <c r="Q29" i="26" s="1"/>
  <c r="O30" i="26" a="1"/>
  <c r="O30" i="26" s="1"/>
  <c r="P30" i="26" a="1"/>
  <c r="P30" i="26" s="1"/>
  <c r="Q30" i="26" a="1"/>
  <c r="Q30" i="26" s="1"/>
  <c r="O31" i="26" a="1"/>
  <c r="O31" i="26" s="1"/>
  <c r="P31" i="26" a="1"/>
  <c r="P31" i="26" s="1"/>
  <c r="Q31" i="26" a="1"/>
  <c r="Q31" i="26" s="1"/>
  <c r="O32" i="26" a="1"/>
  <c r="O32" i="26" s="1"/>
  <c r="P32" i="26" a="1"/>
  <c r="P32" i="26" s="1"/>
  <c r="Q32" i="26" a="1"/>
  <c r="Q32" i="26" s="1"/>
  <c r="O33" i="26" a="1"/>
  <c r="O33" i="26" s="1"/>
  <c r="P33" i="26" a="1"/>
  <c r="P33" i="26" s="1"/>
  <c r="Q33" i="26" a="1"/>
  <c r="Q33" i="26" s="1"/>
  <c r="O34" i="26" a="1"/>
  <c r="O34" i="26" s="1"/>
  <c r="P34" i="26" a="1"/>
  <c r="P34" i="26" s="1"/>
  <c r="Q34" i="26" a="1"/>
  <c r="Q34" i="26" s="1"/>
  <c r="O35" i="26" a="1"/>
  <c r="O35" i="26" s="1"/>
  <c r="P35" i="26" a="1"/>
  <c r="P35" i="26" s="1"/>
  <c r="Q35" i="26" a="1"/>
  <c r="Q35" i="26" s="1"/>
  <c r="O36" i="26" a="1"/>
  <c r="O36" i="26" s="1"/>
  <c r="P36" i="26" a="1"/>
  <c r="P36" i="26" s="1"/>
  <c r="Q36" i="26" a="1"/>
  <c r="Q36" i="26" s="1"/>
  <c r="O37" i="26" a="1"/>
  <c r="O37" i="26" s="1"/>
  <c r="P37" i="26" a="1"/>
  <c r="P37" i="26" s="1"/>
  <c r="Q37" i="26" a="1"/>
  <c r="Q37" i="26" s="1"/>
  <c r="O38" i="26" a="1"/>
  <c r="O38" i="26" s="1"/>
  <c r="P38" i="26" a="1"/>
  <c r="P38" i="26" s="1"/>
  <c r="Q38" i="26" a="1"/>
  <c r="Q38" i="26" s="1"/>
  <c r="O39" i="26" a="1"/>
  <c r="O39" i="26" s="1"/>
  <c r="P39" i="26" a="1"/>
  <c r="P39" i="26" s="1"/>
  <c r="Q39" i="26" a="1"/>
  <c r="Q39" i="26" s="1"/>
  <c r="O40" i="26" a="1"/>
  <c r="O40" i="26" s="1"/>
  <c r="P40" i="26" a="1"/>
  <c r="P40" i="26" s="1"/>
  <c r="Q40" i="26" a="1"/>
  <c r="Q40" i="26" s="1"/>
  <c r="O41" i="26" a="1"/>
  <c r="O41" i="26" s="1"/>
  <c r="P41" i="26" a="1"/>
  <c r="P41" i="26" s="1"/>
  <c r="Q41" i="26" a="1"/>
  <c r="Q41" i="26" s="1"/>
  <c r="O42" i="26" a="1"/>
  <c r="O42" i="26" s="1"/>
  <c r="P42" i="26" a="1"/>
  <c r="P42" i="26" s="1"/>
  <c r="Q42" i="26" a="1"/>
  <c r="Q42" i="26" s="1"/>
  <c r="O43" i="26" a="1"/>
  <c r="O43" i="26" s="1"/>
  <c r="P43" i="26" a="1"/>
  <c r="P43" i="26" s="1"/>
  <c r="Q43" i="26" a="1"/>
  <c r="Q43" i="26" s="1"/>
  <c r="O44" i="26" a="1"/>
  <c r="O44" i="26" s="1"/>
  <c r="P44" i="26" a="1"/>
  <c r="P44" i="26" s="1"/>
  <c r="Q44" i="26" a="1"/>
  <c r="Q44" i="26" s="1"/>
  <c r="O45" i="26" a="1"/>
  <c r="O45" i="26" s="1"/>
  <c r="P45" i="26" a="1"/>
  <c r="P45" i="26" s="1"/>
  <c r="Q45" i="26" a="1"/>
  <c r="Q45" i="26" s="1"/>
  <c r="O46" i="26" a="1"/>
  <c r="O46" i="26" s="1"/>
  <c r="P46" i="26" a="1"/>
  <c r="P46" i="26" s="1"/>
  <c r="Q46" i="26" a="1"/>
  <c r="Q46" i="26" s="1"/>
  <c r="O47" i="26" a="1"/>
  <c r="O47" i="26" s="1"/>
  <c r="P47" i="26" a="1"/>
  <c r="P47" i="26" s="1"/>
  <c r="Q47" i="26" a="1"/>
  <c r="Q47" i="26" s="1"/>
  <c r="O48" i="26" a="1"/>
  <c r="O48" i="26" s="1"/>
  <c r="P48" i="26" a="1"/>
  <c r="P48" i="26" s="1"/>
  <c r="Q48" i="26" a="1"/>
  <c r="Q48" i="26" s="1"/>
  <c r="O49" i="26" a="1"/>
  <c r="O49" i="26" s="1"/>
  <c r="P49" i="26" a="1"/>
  <c r="P49" i="26" s="1"/>
  <c r="Q49" i="26" a="1"/>
  <c r="Q49" i="26" s="1"/>
  <c r="O50" i="26" a="1"/>
  <c r="O50" i="26" s="1"/>
  <c r="P50" i="26" a="1"/>
  <c r="P50" i="26" s="1"/>
  <c r="Q50" i="26" a="1"/>
  <c r="Q50" i="26" s="1"/>
  <c r="O51" i="26" a="1"/>
  <c r="O51" i="26" s="1"/>
  <c r="P51" i="26" a="1"/>
  <c r="P51" i="26" s="1"/>
  <c r="Q51" i="26" a="1"/>
  <c r="Q51" i="26" s="1"/>
  <c r="O52" i="26" a="1"/>
  <c r="O52" i="26" s="1"/>
  <c r="P52" i="26" a="1"/>
  <c r="P52" i="26" s="1"/>
  <c r="Q52" i="26" a="1"/>
  <c r="Q52" i="26" s="1"/>
  <c r="O53" i="26" a="1"/>
  <c r="O53" i="26" s="1"/>
  <c r="P53" i="26" a="1"/>
  <c r="P53" i="26" s="1"/>
  <c r="Q53" i="26" a="1"/>
  <c r="Q53" i="26"/>
  <c r="O54" i="26" a="1"/>
  <c r="O54" i="26" s="1"/>
  <c r="P54" i="26" a="1"/>
  <c r="P54" i="26" s="1"/>
  <c r="Q54" i="26" a="1"/>
  <c r="Q54" i="26" s="1"/>
  <c r="O55" i="26" a="1"/>
  <c r="O55" i="26" s="1"/>
  <c r="P55" i="26" a="1"/>
  <c r="P55" i="26" s="1"/>
  <c r="Q55" i="26" a="1"/>
  <c r="Q55" i="26" s="1"/>
  <c r="O56" i="26" a="1"/>
  <c r="O56" i="26" s="1"/>
  <c r="P56" i="26" a="1"/>
  <c r="P56" i="26" s="1"/>
  <c r="Q56" i="26" a="1"/>
  <c r="Q56" i="26" s="1"/>
  <c r="O57" i="26" a="1"/>
  <c r="O57" i="26" s="1"/>
  <c r="P57" i="26" a="1"/>
  <c r="P57" i="26" s="1"/>
  <c r="Q57" i="26" a="1"/>
  <c r="Q57" i="26" s="1"/>
  <c r="P7" i="26" a="1"/>
  <c r="P7" i="26" s="1"/>
  <c r="Q7" i="26" a="1"/>
  <c r="Q7" i="26" s="1"/>
  <c r="O7" i="26" a="1"/>
  <c r="O7" i="26" s="1"/>
  <c r="N57" i="26"/>
  <c r="N54" i="26"/>
  <c r="N55" i="26" s="1"/>
  <c r="N56" i="26" s="1"/>
  <c r="N44" i="26"/>
  <c r="N45" i="26" s="1"/>
  <c r="N46" i="26" s="1"/>
  <c r="N47" i="26" s="1"/>
  <c r="N48" i="26" s="1"/>
  <c r="N49" i="26" s="1"/>
  <c r="N50" i="26" s="1"/>
  <c r="N51" i="26" s="1"/>
  <c r="N52" i="26" s="1"/>
  <c r="N53" i="26" s="1"/>
  <c r="N9" i="26"/>
  <c r="N10" i="26" s="1"/>
  <c r="N11" i="26" s="1"/>
  <c r="N12" i="26" s="1"/>
  <c r="N13" i="26" s="1"/>
  <c r="N14" i="26" s="1"/>
  <c r="N15" i="26" s="1"/>
  <c r="N16" i="26" s="1"/>
  <c r="N17" i="26" s="1"/>
  <c r="N18" i="26" s="1"/>
  <c r="N19" i="26" s="1"/>
  <c r="N20" i="26" s="1"/>
  <c r="N21" i="26" s="1"/>
  <c r="N22" i="26" s="1"/>
  <c r="N23" i="26" s="1"/>
  <c r="N24" i="26" s="1"/>
  <c r="N25" i="26" s="1"/>
  <c r="N26" i="26" s="1"/>
  <c r="N27" i="26" s="1"/>
  <c r="N28" i="26" s="1"/>
  <c r="N29" i="26" s="1"/>
  <c r="N30" i="26" s="1"/>
  <c r="N31" i="26" s="1"/>
  <c r="N32" i="26" s="1"/>
  <c r="N33" i="26" s="1"/>
  <c r="N34" i="26" s="1"/>
  <c r="N35" i="26" s="1"/>
  <c r="N36" i="26" s="1"/>
  <c r="N37" i="26" s="1"/>
  <c r="N38" i="26" s="1"/>
  <c r="N39" i="26" s="1"/>
  <c r="N40" i="26" s="1"/>
  <c r="N41" i="26" s="1"/>
  <c r="N42" i="26" s="1"/>
  <c r="N43" i="26" s="1"/>
  <c r="N8" i="26"/>
  <c r="C60" i="24" l="1"/>
  <c r="C61" i="24" s="1"/>
  <c r="C11" i="24"/>
  <c r="C67" i="24" s="1"/>
  <c r="C10" i="24"/>
  <c r="C66" i="24" s="1"/>
  <c r="C9" i="24"/>
  <c r="G87" i="24"/>
  <c r="C22" i="24" a="1"/>
  <c r="C22" i="24" s="1"/>
  <c r="G80" i="24" s="1"/>
  <c r="C81" i="24" l="1"/>
  <c r="G81" i="24" s="1"/>
  <c r="C80" i="24"/>
  <c r="C82" i="24" s="1"/>
  <c r="C65" i="24" l="1"/>
  <c r="C69" i="24" s="1"/>
  <c r="C70" i="24" l="1" a="1"/>
  <c r="C70" i="24" s="1"/>
  <c r="C72" i="24" l="1"/>
  <c r="C85" i="24" s="1"/>
  <c r="C73" i="24"/>
  <c r="C87" i="24" l="1"/>
  <c r="G73" i="24"/>
  <c r="C86" i="24"/>
  <c r="G72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<sst xmlns="http://schemas.openxmlformats.org/spreadsheetml/2006/main" count="179" uniqueCount="114">
  <si>
    <t>MJ/km</t>
  </si>
  <si>
    <t xml:space="preserve">CD Electricity </t>
  </si>
  <si>
    <t>CD Fuel</t>
  </si>
  <si>
    <t>CS Fuel</t>
  </si>
  <si>
    <t>f(discrepancy, electricity)[CD mode]</t>
  </si>
  <si>
    <t>f(discrepancy, fuel)[CD mode]</t>
  </si>
  <si>
    <t>f(discrepancy, fuel)[CS mode]</t>
  </si>
  <si>
    <t>f(deterioration, electricity)[CD mode]</t>
  </si>
  <si>
    <t>f(deterioration, fuel)[CD mode]</t>
  </si>
  <si>
    <t>f(deterioration, fuel)[CS mode]</t>
  </si>
  <si>
    <t>〖FEC〗_(in-use [CS mode] )</t>
  </si>
  <si>
    <t>Value</t>
  </si>
  <si>
    <t>Parameter</t>
  </si>
  <si>
    <t>Factor</t>
  </si>
  <si>
    <t>km</t>
  </si>
  <si>
    <t>litres/100km</t>
  </si>
  <si>
    <t>〖FEC〗_(Certification [CS mode])</t>
  </si>
  <si>
    <t>〖FEC〗_(Certification [CD mode])</t>
  </si>
  <si>
    <t>〖EEC〗_(in-use)</t>
  </si>
  <si>
    <t>〖FEC〗_(in-use)</t>
  </si>
  <si>
    <t>〖UF〗_( in-use [CD mode])</t>
  </si>
  <si>
    <t>〖UF〗_(certification [CD mode])</t>
  </si>
  <si>
    <t>〖Range〗_(in-use [CD mode])</t>
  </si>
  <si>
    <t>〖Range〗_(certification [CD mode])</t>
  </si>
  <si>
    <t>WLTP Utility Factor Formula:</t>
  </si>
  <si>
    <t>Source:</t>
  </si>
  <si>
    <t>Amended Regulation for Euro 6e</t>
  </si>
  <si>
    <t>See: Comitology Register (europa.eu) Comitology Register</t>
  </si>
  <si>
    <t>Regulation - 2023/443 - EN - EUR-Lex</t>
  </si>
  <si>
    <t>dnx (km)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</si>
  <si>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</si>
  <si>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</si>
  <si>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</si>
  <si>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</si>
  <si>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</si>
  <si>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</si>
  <si>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</si>
  <si>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</si>
  <si>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</si>
  <si>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</si>
  <si>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pre-2025</t>
  </si>
  <si>
    <t>‘ANNEX XXI, Appendix 5: Utility factors (UF) for OVC-HEVs and OVC-FCHVs (as applicable</t>
  </si>
  <si>
    <t>〖EEC〗_(Certification [CD mode])</t>
  </si>
  <si>
    <t>MJ per kWh</t>
  </si>
  <si>
    <t>〖FEC〗_(Certification)</t>
  </si>
  <si>
    <t>〖EEC〗_(Certification)</t>
  </si>
  <si>
    <t>Input parameters:</t>
  </si>
  <si>
    <t>ElecEF</t>
  </si>
  <si>
    <t>FuelEF</t>
  </si>
  <si>
    <t>gCO2e/MJ</t>
  </si>
  <si>
    <t>gCO2e/kWh</t>
  </si>
  <si>
    <t>Number of periods (j) = 1</t>
  </si>
  <si>
    <t>Differences between diesel and petrol explained - ACEA - European Automobile Manufacturers' Association</t>
  </si>
  <si>
    <t>gCO2/litre</t>
  </si>
  <si>
    <t>gCO2/km</t>
  </si>
  <si>
    <t>Certified tailpipe CO2</t>
  </si>
  <si>
    <t>Wh/km</t>
  </si>
  <si>
    <t>RW tailpipe CO2</t>
  </si>
  <si>
    <t>MJ/litre (Net CV)</t>
  </si>
  <si>
    <t>gCO2e/km</t>
  </si>
  <si>
    <t>Note</t>
  </si>
  <si>
    <t>Illustrative input</t>
  </si>
  <si>
    <t>Illustrative calc</t>
  </si>
  <si>
    <t>Calculated according to methodology</t>
  </si>
  <si>
    <t>Conversion factors</t>
  </si>
  <si>
    <t>Real-world (in-use) values</t>
  </si>
  <si>
    <t>Certified values basis</t>
  </si>
  <si>
    <t>UNECE A-LCA SG4 - PHEV methodology example</t>
  </si>
  <si>
    <t>WLTP Utility Factor Basis</t>
  </si>
  <si>
    <t>Additional calculated values:</t>
  </si>
  <si>
    <t>〖FEC〗_(in-use [CD mode])</t>
  </si>
  <si>
    <t>〖EEC〗_(in-use [CD mode])</t>
  </si>
  <si>
    <t>Mode1</t>
  </si>
  <si>
    <t>Mode2</t>
  </si>
  <si>
    <t>Fuel emissions (WTW)</t>
  </si>
  <si>
    <t>Electricity emissions (WTW)</t>
  </si>
  <si>
    <t>Plus would need to add other tailpipe and leakage emissions according to the wider methodology</t>
  </si>
  <si>
    <t>Calculated according to WLTP</t>
  </si>
  <si>
    <t>Calculated Output values:</t>
  </si>
  <si>
    <t>Range detorioration</t>
  </si>
  <si>
    <t>Input (drop-down)</t>
  </si>
  <si>
    <t>Calc1</t>
  </si>
  <si>
    <t>Calc2</t>
  </si>
  <si>
    <t>Calc3</t>
  </si>
  <si>
    <t>User Input</t>
  </si>
  <si>
    <t>Colour key:</t>
  </si>
  <si>
    <t>Units</t>
  </si>
  <si>
    <t>In-use energy consumption (methodology from draft guidance document)</t>
  </si>
  <si>
    <t>Deterioration in range for OVC-HEV (methodology from draft guidance document)</t>
  </si>
  <si>
    <t>〖Range〗_(certification [electric])</t>
  </si>
  <si>
    <t>Battery Capacity [start]</t>
  </si>
  <si>
    <t>Battery Capacity [in-use average]</t>
  </si>
  <si>
    <t>kWh</t>
  </si>
  <si>
    <t>All-electric range may be lower than CD range (which can include some fuel consumption)</t>
  </si>
  <si>
    <t>Illustrative input (range for electric operation plus fuel consumption in CD mode)</t>
  </si>
  <si>
    <t>In-use energy consumption (methodology outlined to right)</t>
  </si>
  <si>
    <t>In-use energy consumption (including deterioration in electric range)</t>
  </si>
  <si>
    <t>Deterioration in electric range (due to battery SoH reduction only)</t>
  </si>
  <si>
    <t>Deterioration in electric range (methodology outlined to right)</t>
  </si>
  <si>
    <t>Battery Capacity [EoL]</t>
  </si>
  <si>
    <t>SoH [vehicle EoL]</t>
  </si>
  <si>
    <t>Ilustrative - as calculated or defined in CP or OEM methodology/modelling, or standard simplified approach if not available.</t>
  </si>
  <si>
    <t>Illustrative input (for ~20 year operational average)</t>
  </si>
  <si>
    <t>Illustrative additional calculations</t>
  </si>
  <si>
    <t>Range</t>
  </si>
  <si>
    <t>WLTP UF Basis</t>
  </si>
  <si>
    <t>WLTP Utility Factors (UF) for OVC-HEVs and OVC-FCEVs</t>
  </si>
  <si>
    <t>Range (km)</t>
  </si>
  <si>
    <t>Utility Factor (UF)</t>
  </si>
  <si>
    <t>Plot of UF vs Range&gt;&gt;&gt; [Click '+' to expand below]</t>
  </si>
  <si>
    <t>Illustrative input (no deterioration assumed by default)</t>
  </si>
  <si>
    <t>Select UF</t>
  </si>
  <si>
    <t>Calculated according to methodology - combines (i) in-use energy consumption (disrepancey+deterioration), (ii) deterioration in range (due to SoH reduction).</t>
  </si>
  <si>
    <t xml:space="preserve">Calculated according to methodology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</si>
</sst>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00"/>
    <numFmt numFmtId="165" formatCode="0.0"/>
  </numFmts>
  <fonts count="26" x14ac:knownFonts="1">
    <font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0"/>
      <color theme="5"/>
      <name val="Arial"/>
      <family val="2"/>
      <scheme val="minor"/>
    </font>
    <font>
      <sz val="10"/>
      <color rgb="FF9C0006"/>
      <name val="Arial"/>
      <family val="2"/>
      <scheme val="minor"/>
    </font>
    <font>
      <sz val="10"/>
      <color rgb="FF006100"/>
      <name val="Arial"/>
      <family val="2"/>
      <scheme val="minor"/>
    </font>
    <font>
      <sz val="10"/>
      <color rgb="FF9C6500"/>
      <name val="Arial"/>
      <family val="2"/>
      <scheme val="minor"/>
    </font>
    <font>
      <sz val="10"/>
      <name val="Arial"/>
      <family val="2"/>
      <scheme val="minor"/>
    </font>
    <font>
      <sz val="10"/>
      <color theme="8" tint="-0.24994659260841701"/>
      <name val="Arial"/>
      <family val="2"/>
      <scheme val="minor"/>
    </font>
    <font>
      <b/>
      <sz val="11"/>
      <name val="Arial"/>
      <family val="2"/>
      <scheme val="minor"/>
    </font>
    <font>
      <sz val="20"/>
      <color theme="7"/>
      <name val="Arial"/>
      <family val="2"/>
      <scheme val="minor"/>
    </font>
    <font>
      <sz val="16"/>
      <color theme="7"/>
      <name val="Arial"/>
      <family val="2"/>
      <scheme val="minor"/>
    </font>
    <font>
      <b/>
      <sz val="12"/>
      <color theme="7"/>
      <name val="Arial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0"/>
      <color theme="0"/>
      <name val="Arial"/>
      <family val="2"/>
    </font>
    <font>
      <b/>
      <sz val="10"/>
      <color theme="8" tint="-0.24994659260841701"/>
      <name val="Arial"/>
      <family val="2"/>
      <scheme val="minor"/>
    </font>
    <font>
      <u/>
      <sz val="10"/>
      <color theme="1"/>
      <name val="Arial"/>
      <family val="2"/>
      <scheme val="minor"/>
    </font>
    <font>
      <sz val="4"/>
      <color theme="1"/>
      <name val="Arial"/>
      <family val="2"/>
      <scheme val="minor"/>
    </font>
    <font>
      <i/>
      <sz val="10"/>
      <color theme="1"/>
      <name val="Arial"/>
      <family val="2"/>
      <scheme val="minor"/>
    </font>
    <font>
      <u/>
      <sz val="10"/>
      <color theme="10"/>
      <name val="Arial"/>
      <family val="2"/>
      <scheme val="minor"/>
    </font>
    <font>
      <b/>
      <sz val="4"/>
      <color theme="1"/>
      <name val="Arial"/>
      <family val="2"/>
      <scheme val="minor"/>
    </font>
    <font>
      <b/>
      <u/>
      <sz val="12"/>
      <color theme="7"/>
      <name val="Arial"/>
      <family val="2"/>
      <scheme val="minor"/>
    </font>
    <font>
      <u/>
      <sz val="16"/>
      <color theme="7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i/>
      <sz val="1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6BB7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rgb="FFEAF4D7"/>
        <bgColor rgb="FF000000"/>
      </patternFill>
    </fill>
    <fill>
      <patternFill patternType="solid">
        <fgColor rgb="FFDDF0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A7A9AC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tted">
        <color rgb="FF4D661C"/>
      </left>
      <right style="dotted">
        <color rgb="FF4D661C"/>
      </right>
      <top style="dotted">
        <color rgb="FF4D661C"/>
      </top>
      <bottom style="dotted">
        <color rgb="FF4D661C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31">
    <xf numFmtId="0" fontId="0" fillId="0" borderId="0"/>
    <xf numFmtId="0" fontId="10" fillId="0" borderId="0" applyNumberFormat="0" applyFill="0" applyBorder="0" applyAlignment="0"/>
    <xf numFmtId="0" fontId="11" fillId="0" borderId="0" applyNumberFormat="0" applyFill="0" applyBorder="0" applyAlignment="0"/>
    <xf numFmtId="0" fontId="12" fillId="0" borderId="0" applyNumberFormat="0" applyFill="0" applyBorder="0" applyAlignment="0"/>
    <xf numFmtId="0" fontId="9" fillId="0" borderId="0" applyNumberFormat="0" applyFill="0" applyBorder="0" applyAlignment="0"/>
    <xf numFmtId="0" fontId="5" fillId="6" borderId="0" applyNumberFormat="0" applyBorder="0" applyAlignment="0" applyProtection="0"/>
    <xf numFmtId="0" fontId="4" fillId="7" borderId="0" applyNumberFormat="0" applyBorder="0" applyAlignment="0" applyProtection="0"/>
    <xf numFmtId="0" fontId="6" fillId="8" borderId="0" applyNumberFormat="0" applyBorder="0" applyAlignment="0" applyProtection="0"/>
    <xf numFmtId="0" fontId="7" fillId="5" borderId="0" applyNumberFormat="0" applyFont="0" applyBorder="0" applyAlignment="0">
      <protection locked="0"/>
    </xf>
    <xf numFmtId="0" fontId="7" fillId="4" borderId="0" applyNumberFormat="0" applyFont="0" applyBorder="0" applyAlignment="0"/>
    <xf numFmtId="0" fontId="7" fillId="10" borderId="0" applyNumberFormat="0" applyFont="0" applyBorder="0" applyAlignment="0"/>
    <xf numFmtId="0" fontId="7" fillId="2" borderId="0" applyNumberFormat="0" applyFont="0" applyBorder="0" applyAlignment="0"/>
    <xf numFmtId="0" fontId="16" fillId="15" borderId="0" applyNumberFormat="0" applyBorder="0" applyAlignment="0"/>
    <xf numFmtId="0" fontId="3" fillId="13" borderId="0" applyNumberFormat="0" applyBorder="0" applyAlignment="0"/>
    <xf numFmtId="0" fontId="1" fillId="9" borderId="1" applyNumberFormat="0" applyAlignment="0" applyProtection="0"/>
    <xf numFmtId="0" fontId="8" fillId="3" borderId="0" applyNumberFormat="0" applyBorder="0" applyAlignment="0"/>
    <xf numFmtId="0" fontId="2" fillId="0" borderId="0" applyNumberFormat="0" applyFill="0" applyBorder="0" applyAlignment="0"/>
    <xf numFmtId="0" fontId="1" fillId="11" borderId="0" applyNumberFormat="0" applyFont="0" applyBorder="0" applyAlignment="0"/>
    <xf numFmtId="0" fontId="1" fillId="12" borderId="0" applyNumberFormat="0" applyFont="0" applyBorder="0" applyAlignment="0"/>
    <xf numFmtId="0" fontId="13" fillId="14" borderId="0" applyNumberFormat="0" applyAlignment="0">
      <alignment horizontal="center" wrapText="1"/>
    </xf>
    <xf numFmtId="0" fontId="7" fillId="16" borderId="0" applyNumberFormat="0" applyFont="0" applyBorder="0" applyAlignment="0"/>
    <xf numFmtId="0" fontId="14" fillId="0" borderId="2" applyNumberFormat="0" applyProtection="0">
      <alignment horizontal="left"/>
    </xf>
    <xf numFmtId="0" fontId="15" fillId="17" borderId="3" applyNumberFormat="0" applyProtection="0">
      <alignment horizontal="left" vertical="center" wrapText="1"/>
    </xf>
    <xf numFmtId="0" fontId="13" fillId="0" borderId="4" applyNumberFormat="0" applyProtection="0">
      <alignment horizontal="left" vertical="top"/>
    </xf>
    <xf numFmtId="1" fontId="13" fillId="18" borderId="3" applyNumberFormat="0" applyProtection="0">
      <alignment horizontal="right" vertical="top"/>
    </xf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7" fillId="21" borderId="5" applyFont="0" applyAlignment="0">
      <protection locked="0"/>
    </xf>
    <xf numFmtId="0" fontId="7" fillId="22" borderId="0" applyNumberFormat="0" applyFont="0" applyBorder="0" applyAlignment="0"/>
    <xf numFmtId="0" fontId="20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68">
    <xf numFmtId="0" fontId="0" fillId="0" borderId="0" xfId="0"/>
    <xf numFmtId="0" fontId="0" fillId="5" borderId="0" xfId="8" applyFont="1">
      <protection locked="0"/>
    </xf>
    <xf numFmtId="0" fontId="17" fillId="0" borderId="0" xfId="0" applyFont="1"/>
    <xf numFmtId="0" fontId="0" fillId="4" borderId="0" xfId="9" applyFont="1"/>
    <xf numFmtId="0" fontId="0" fillId="0" borderId="9" xfId="0" applyBorder="1"/>
    <xf numFmtId="0" fontId="0" fillId="0" borderId="0" xfId="0" applyBorder="1"/>
    <xf numFmtId="0" fontId="0" fillId="0" borderId="10" xfId="0" applyBorder="1"/>
    <xf numFmtId="0" fontId="18" fillId="0" borderId="6" xfId="0" applyFont="1" applyBorder="1"/>
    <xf numFmtId="0" fontId="18" fillId="0" borderId="7" xfId="0" applyFont="1" applyBorder="1"/>
    <xf numFmtId="0" fontId="18" fillId="0" borderId="8" xfId="0" applyFont="1" applyBorder="1"/>
    <xf numFmtId="0" fontId="18" fillId="0" borderId="0" xfId="0" applyFont="1"/>
    <xf numFmtId="0" fontId="18" fillId="0" borderId="11" xfId="0" applyFont="1" applyBorder="1"/>
    <xf numFmtId="0" fontId="18" fillId="0" borderId="12" xfId="0" applyFont="1" applyBorder="1"/>
    <xf numFmtId="0" fontId="18" fillId="0" borderId="13" xfId="0" applyFont="1" applyBorder="1"/>
    <xf numFmtId="0" fontId="19" fillId="0" borderId="0" xfId="0" applyFont="1" applyBorder="1"/>
    <xf numFmtId="0" fontId="17" fillId="0" borderId="0" xfId="0" applyFont="1" applyBorder="1"/>
    <xf numFmtId="0" fontId="12" fillId="0" borderId="0" xfId="3"/>
    <xf numFmtId="0" fontId="20" fillId="0" borderId="0" xfId="29" applyAlignment="1" applyProtection="1">
      <alignment vertical="center"/>
    </xf>
    <xf numFmtId="0" fontId="20" fillId="0" borderId="0" xfId="29"/>
    <xf numFmtId="0" fontId="15" fillId="17" borderId="3" xfId="22">
      <alignment horizontal="left" vertical="center" wrapText="1"/>
    </xf>
    <xf numFmtId="0" fontId="13" fillId="23" borderId="4" xfId="23" applyFill="1">
      <alignment horizontal="left" vertical="top"/>
    </xf>
    <xf numFmtId="0" fontId="0" fillId="21" borderId="5" xfId="27" applyFont="1">
      <protection locked="0"/>
    </xf>
    <xf numFmtId="0" fontId="19" fillId="0" borderId="0" xfId="0" applyFont="1"/>
    <xf numFmtId="164" fontId="0" fillId="10" borderId="0" xfId="10" applyNumberFormat="1" applyFont="1"/>
    <xf numFmtId="2" fontId="0" fillId="5" borderId="0" xfId="8" applyNumberFormat="1" applyFont="1">
      <protection locked="0"/>
    </xf>
    <xf numFmtId="2" fontId="0" fillId="12" borderId="0" xfId="18" applyNumberFormat="1" applyFont="1"/>
    <xf numFmtId="164" fontId="0" fillId="12" borderId="0" xfId="18" applyNumberFormat="1" applyFont="1"/>
    <xf numFmtId="165" fontId="0" fillId="5" borderId="0" xfId="8" applyNumberFormat="1" applyFont="1">
      <protection locked="0"/>
    </xf>
    <xf numFmtId="165" fontId="0" fillId="10" borderId="0" xfId="10" applyNumberFormat="1" applyFont="1"/>
    <xf numFmtId="164" fontId="0" fillId="4" borderId="0" xfId="9" applyNumberFormat="1" applyFont="1"/>
    <xf numFmtId="1" fontId="0" fillId="5" borderId="0" xfId="8" applyNumberFormat="1" applyFont="1">
      <protection locked="0"/>
    </xf>
    <xf numFmtId="165" fontId="0" fillId="0" borderId="0" xfId="0" applyNumberFormat="1"/>
    <xf numFmtId="165" fontId="0" fillId="4" borderId="0" xfId="9" applyNumberFormat="1" applyFont="1"/>
    <xf numFmtId="165" fontId="7" fillId="5" borderId="0" xfId="8" applyNumberFormat="1" applyFont="1">
      <protection locked="0"/>
    </xf>
    <xf numFmtId="165" fontId="0" fillId="12" borderId="0" xfId="18" applyNumberFormat="1" applyFont="1"/>
    <xf numFmtId="1" fontId="0" fillId="10" borderId="0" xfId="10" applyNumberFormat="1" applyFont="1"/>
    <xf numFmtId="0" fontId="23" fillId="0" borderId="0" xfId="2" applyFont="1"/>
    <xf numFmtId="0" fontId="0" fillId="10" borderId="0" xfId="10" applyFont="1"/>
    <xf numFmtId="0" fontId="0" fillId="12" borderId="0" xfId="18" applyFont="1"/>
    <xf numFmtId="0" fontId="9" fillId="0" borderId="0" xfId="4"/>
    <xf numFmtId="9" fontId="0" fillId="5" borderId="0" xfId="30" applyFont="1" applyFill="1" applyProtection="1">
      <protection locked="0"/>
    </xf>
    <xf numFmtId="0" fontId="9" fillId="24" borderId="0" xfId="4" applyFill="1"/>
    <xf numFmtId="0" fontId="9" fillId="25" borderId="0" xfId="4" applyFill="1"/>
    <xf numFmtId="0" fontId="0" fillId="24" borderId="0" xfId="0" applyFill="1"/>
    <xf numFmtId="0" fontId="0" fillId="25" borderId="0" xfId="0" applyFill="1"/>
    <xf numFmtId="0" fontId="0" fillId="26" borderId="0" xfId="0" applyFill="1"/>
    <xf numFmtId="0" fontId="18" fillId="26" borderId="0" xfId="0" applyFont="1" applyFill="1"/>
    <xf numFmtId="0" fontId="12" fillId="26" borderId="0" xfId="3" applyFill="1"/>
    <xf numFmtId="0" fontId="9" fillId="26" borderId="0" xfId="4" applyFill="1"/>
    <xf numFmtId="0" fontId="22" fillId="4" borderId="0" xfId="3" applyFont="1" applyFill="1"/>
    <xf numFmtId="0" fontId="12" fillId="4" borderId="0" xfId="3" applyFill="1"/>
    <xf numFmtId="0" fontId="22" fillId="5" borderId="0" xfId="3" applyFont="1" applyFill="1"/>
    <xf numFmtId="0" fontId="12" fillId="5" borderId="0" xfId="3" applyFill="1"/>
    <xf numFmtId="0" fontId="21" fillId="5" borderId="0" xfId="0" applyFont="1" applyFill="1"/>
    <xf numFmtId="0" fontId="18" fillId="5" borderId="0" xfId="0" applyFont="1" applyFill="1"/>
    <xf numFmtId="0" fontId="18" fillId="4" borderId="0" xfId="0" applyFont="1" applyFill="1"/>
    <xf numFmtId="0" fontId="24" fillId="0" borderId="0" xfId="0" applyFont="1"/>
    <xf numFmtId="0" fontId="24" fillId="26" borderId="0" xfId="0" applyFont="1" applyFill="1"/>
    <xf numFmtId="0" fontId="24" fillId="23" borderId="0" xfId="0" applyFont="1" applyFill="1"/>
    <xf numFmtId="0" fontId="22" fillId="27" borderId="0" xfId="3" applyFont="1" applyFill="1"/>
    <xf numFmtId="0" fontId="0" fillId="27" borderId="0" xfId="0" applyFill="1"/>
    <xf numFmtId="0" fontId="18" fillId="27" borderId="0" xfId="0" applyFont="1" applyFill="1"/>
    <xf numFmtId="0" fontId="13" fillId="18" borderId="3" xfId="24" applyNumberFormat="1">
      <alignment horizontal="right" vertical="top"/>
    </xf>
    <xf numFmtId="0" fontId="25" fillId="0" borderId="0" xfId="23" applyFont="1" applyFill="1" applyBorder="1">
      <alignment horizontal="left" vertical="top"/>
    </xf>
    <xf numFmtId="2" fontId="7" fillId="5" borderId="0" xfId="8" applyNumberFormat="1" applyFont="1">
      <protection locked="0"/>
    </xf>
    <xf numFmtId="0" fontId="15" fillId="17" borderId="14" xfId="22" applyBorder="1" applyAlignment="1">
      <alignment horizontal="center" vertical="center" wrapText="1"/>
    </xf>
    <xf numFmtId="0" fontId="15" fillId="17" borderId="15" xfId="22" applyBorder="1" applyAlignment="1">
      <alignment horizontal="center" vertical="center" wrapText="1"/>
    </xf>
    <xf numFmtId="0" fontId="15" fillId="17" borderId="16" xfId="22" applyBorder="1" applyAlignment="1">
      <alignment horizontal="center" vertical="center" wrapText="1"/>
    </xf>
  </cellXfs>
  <cellStyles count="31">
    <cellStyle name="Accent2" xfId="25" builtinId="33" customBuiltin="1"/>
    <cellStyle name="Accent3" xfId="26" builtinId="37" customBuiltin="1"/>
    <cellStyle name="Background" xfId="19" xr:uid="{00000000-0005-0000-0000-000000000000}"/>
    <cellStyle name="Bad" xfId="6" builtinId="27" customBuiltin="1"/>
    <cellStyle name="Calculation" xfId="10" builtinId="22" customBuiltin="1"/>
    <cellStyle name="Calculation3" xfId="18" xr:uid="{00000000-0005-0000-0000-000003000000}"/>
    <cellStyle name="Check Cell" xfId="12" builtinId="23" customBuiltin="1"/>
    <cellStyle name="Explanatory Text" xfId="15" builtinId="53" customBuiltin="1"/>
    <cellStyle name="Good" xfId="5" builtinId="26" customBuiltin="1"/>
    <cellStyle name="Heading 1" xfId="1" builtinId="16" customBuiltin="1"/>
    <cellStyle name="Heading 2" xfId="2" builtinId="17" customBuiltin="1"/>
    <cellStyle name="Heading 3" xfId="3" builtinId="18" customBuiltin="1"/>
    <cellStyle name="Heading 4" xfId="4" builtinId="19" customBuiltin="1"/>
    <cellStyle name="Hyperlink" xfId="29" builtinId="8"/>
    <cellStyle name="Input" xfId="8" builtinId="20" customBuiltin="1"/>
    <cellStyle name="Input (Validation)" xfId="27" xr:uid="{7595D104-D25A-4B13-B8AF-8A8736CAC758}"/>
    <cellStyle name="Linked Cell" xfId="11" builtinId="24" customBuiltin="1"/>
    <cellStyle name="Linked Cell2" xfId="20" xr:uid="{FF30599D-94CC-46D8-9442-6CC3518CEFD1}"/>
    <cellStyle name="Linked Cell3" xfId="28" xr:uid="{2F6E8D4C-537B-48B2-962C-B2BEE39540E3}"/>
    <cellStyle name="Neutral" xfId="7" builtinId="28" customBuiltin="1"/>
    <cellStyle name="Normal" xfId="0" builtinId="0" customBuiltin="1"/>
    <cellStyle name="Note" xfId="14" builtinId="10" customBuiltin="1"/>
    <cellStyle name="Output" xfId="9" builtinId="21" customBuiltin="1"/>
    <cellStyle name="Percent" xfId="30" builtinId="5"/>
    <cellStyle name="Ref Data" xfId="17" xr:uid="{00000000-0005-0000-0000-000012000000}"/>
    <cellStyle name="RicPageHeader" xfId="21" xr:uid="{B1F5695D-EABB-40EC-BCCF-FADD579D0600}"/>
    <cellStyle name="RicTableHeader" xfId="22" xr:uid="{278CAE8A-57FF-4EE9-AAC0-C0C8B7ABE301}"/>
    <cellStyle name="RicTableMain" xfId="23" xr:uid="{D3318D14-0EB4-4823-967A-F830586A6195}"/>
    <cellStyle name="RicTableSubheader" xfId="24" xr:uid="{D8B6FBB7-DFCF-4B86-A993-61FFD5D71962}"/>
    <cellStyle name="Total" xfId="16" builtinId="25" customBuiltin="1"/>
    <cellStyle name="Warning Text" xfId="13" builtinId="11" customBuiltin="1"/>
  </cellStyles>
  <dxfs count="33">
    <dxf>
      <fill>
        <patternFill>
          <bgColor theme="8" tint="0.79998168889431442"/>
        </patternFill>
      </fill>
    </dxf>
    <dxf>
      <font>
        <b/>
        <i val="0"/>
      </font>
    </dxf>
    <dxf>
      <font>
        <b/>
        <i val="0"/>
      </font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</border>
    </dxf>
    <dxf>
      <font>
        <b/>
        <i val="0"/>
        <color theme="0"/>
      </font>
      <fill>
        <patternFill>
          <bgColor theme="8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</border>
    </dxf>
    <dxf>
      <fill>
        <patternFill patternType="solid">
          <fgColor rgb="FFEDF3F7"/>
          <bgColor rgb="FFEDF3F7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thin">
          <color theme="7"/>
        </top>
      </border>
    </dxf>
    <dxf>
      <font>
        <b/>
        <color theme="0"/>
      </font>
      <fill>
        <patternFill patternType="solid">
          <fgColor theme="7"/>
          <bgColor theme="7"/>
        </patternFill>
      </fill>
    </dxf>
    <dxf>
      <font>
        <color theme="1"/>
      </font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  <vertical style="thin">
          <color theme="7"/>
        </vertic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thin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theme="6" tint="0.79998168889431442"/>
          <bgColor theme="6" tint="0.79998168889431442"/>
        </patternFill>
      </fill>
    </dxf>
    <dxf>
      <fill>
        <patternFill patternType="solid">
          <fgColor theme="6" tint="0.79998168889431442"/>
          <bgColor theme="6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thin">
          <color theme="6"/>
        </top>
      </border>
    </dxf>
    <dxf>
      <font>
        <b/>
        <i val="0"/>
        <color theme="1"/>
      </font>
      <fill>
        <patternFill patternType="solid">
          <fgColor theme="6"/>
          <bgColor theme="6"/>
        </patternFill>
      </fill>
    </dxf>
    <dxf>
      <font>
        <b val="0"/>
        <i val="0"/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ill>
        <patternFill patternType="solid">
          <fgColor theme="5" tint="0.79998168889431442"/>
          <bgColor theme="5" tint="0.79998168889431442"/>
        </patternFill>
      </fill>
    </dxf>
    <dxf>
      <fill>
        <patternFill patternType="solid">
          <fgColor theme="5" tint="0.79998168889431442"/>
          <bgColor theme="5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thin">
          <color theme="5"/>
        </top>
      </border>
    </dxf>
    <dxf>
      <font>
        <b/>
        <i val="0"/>
        <color theme="1"/>
      </font>
      <fill>
        <patternFill patternType="solid">
          <fgColor theme="5"/>
          <bgColor theme="5"/>
        </patternFill>
      </fill>
    </dxf>
    <dxf>
      <font>
        <color theme="1"/>
      </font>
      <border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horizontal/>
      </border>
    </dxf>
  </dxfs>
  <tableStyles count="5" defaultTableStyle="TableStyleMedium2" defaultPivotStyle="PivotStyleLight16">
    <tableStyle name="1 Reference Table" pivot="0" count="7" xr9:uid="{00000000-0011-0000-FFFF-FFFF00000000}">
      <tableStyleElement type="wholeTable" dxfId="32"/>
      <tableStyleElement type="headerRow" dxfId="31"/>
      <tableStyleElement type="totalRow" dxfId="30"/>
      <tableStyleElement type="firstColumn" dxfId="29"/>
      <tableStyleElement type="lastColumn" dxfId="28"/>
      <tableStyleElement type="firstRowStripe" dxfId="27"/>
      <tableStyleElement type="firstColumnStripe" dxfId="26"/>
    </tableStyle>
    <tableStyle name="2 User Input Data" pivot="0" count="7" xr9:uid="{00000000-0011-0000-FFFF-FFFF01000000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  <tableStyle name="3 Calculation Table" pivot="0" count="7" xr9:uid="{00000000-0011-0000-FFFF-FFFF02000000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4 Output Table" pivot="0" count="6" xr9:uid="{00000000-0011-0000-FFFF-FFFF03000000}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</tableStyle>
    <tableStyle name="5 QA Table" pivot="0" count="6" xr9:uid="{00000000-0011-0000-FFFF-FFFF04000000}">
      <tableStyleElement type="wholeTable" dxfId="5"/>
      <tableStyleElement type="headerRow" dxfId="4"/>
      <tableStyleElement type="totalRow" dxfId="3"/>
      <tableStyleElement type="firstColumn" dxfId="2"/>
      <tableStyleElement type="lastColumn" dxfId="1"/>
      <tableStyleElement type="firstRowStripe" dxfId="0"/>
    </tableStyle>
  </tableStyles>
  <colors>
    <mruColors>
      <color rgb="FFEDF3F7"/>
      <color rgb="FFCC0066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'WLTP Certification'!$S$4</c:f>
          <c:strCache>
            <c:ptCount val="1"/>
            <c:pt idx="0">
              <c:v>WLTP Utility Factors (UF) for OVC-HEVs and OVC-FCEVs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902799650043744"/>
          <c:y val="0.14953703703703702"/>
          <c:w val="0.69335634415561065"/>
          <c:h val="0.66321741032370962"/>
        </c:manualLayout>
      </c:layout>
      <c:lineChart>
        <c:grouping val="standard"/>
        <c:varyColors val="0"/>
        <c:ser>
          <c:idx val="0"/>
          <c:order val="0"/>
          <c:tx>
            <c:strRef>
              <c:f>'WLTP Certification'!$O$6</c:f>
              <c:strCache>
                <c:ptCount val="1"/>
                <c:pt idx="0">
                  <c:v>pre-2025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'WLTP Certification'!$N$7:$N$57</c:f>
              <c:numCache>
                <c:formatCode>General</c:formatCode>
                <c:ptCount val="5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  <c:pt idx="21">
                  <c:v>105</c:v>
                </c:pt>
                <c:pt idx="22">
                  <c:v>110</c:v>
                </c:pt>
                <c:pt idx="23">
                  <c:v>115</c:v>
                </c:pt>
                <c:pt idx="24">
                  <c:v>120</c:v>
                </c:pt>
                <c:pt idx="25">
                  <c:v>125</c:v>
                </c:pt>
                <c:pt idx="26">
                  <c:v>130</c:v>
                </c:pt>
                <c:pt idx="27">
                  <c:v>135</c:v>
                </c:pt>
                <c:pt idx="28">
                  <c:v>140</c:v>
                </c:pt>
                <c:pt idx="29">
                  <c:v>145</c:v>
                </c:pt>
                <c:pt idx="30">
                  <c:v>150</c:v>
                </c:pt>
                <c:pt idx="31">
                  <c:v>155</c:v>
                </c:pt>
                <c:pt idx="32">
                  <c:v>160</c:v>
                </c:pt>
                <c:pt idx="33">
                  <c:v>165</c:v>
                </c:pt>
                <c:pt idx="34">
                  <c:v>170</c:v>
                </c:pt>
                <c:pt idx="35">
                  <c:v>175</c:v>
                </c:pt>
                <c:pt idx="36">
                  <c:v>180</c:v>
                </c:pt>
                <c:pt idx="37">
                  <c:v>185</c:v>
                </c:pt>
                <c:pt idx="38">
                  <c:v>190</c:v>
                </c:pt>
                <c:pt idx="39">
                  <c:v>195</c:v>
                </c:pt>
                <c:pt idx="40">
                  <c:v>200</c:v>
                </c:pt>
                <c:pt idx="41">
                  <c:v>205</c:v>
                </c:pt>
                <c:pt idx="42">
                  <c:v>210</c:v>
                </c:pt>
                <c:pt idx="43">
                  <c:v>215</c:v>
                </c:pt>
                <c:pt idx="44">
                  <c:v>220</c:v>
                </c:pt>
                <c:pt idx="45">
                  <c:v>225</c:v>
                </c:pt>
                <c:pt idx="46">
                  <c:v>230</c:v>
                </c:pt>
                <c:pt idx="47">
                  <c:v>235</c:v>
                </c:pt>
                <c:pt idx="48">
                  <c:v>240</c:v>
                </c:pt>
                <c:pt idx="49">
                  <c:v>245</c:v>
                </c:pt>
                <c:pt idx="50">
                  <c:v>250</c:v>
                </c:pt>
              </c:numCache>
            </c:numRef>
          </c:cat>
          <c:val>
            <c:numRef>
              <c:f>'WLTP Certification'!$O$7:$O$57</c:f>
              <c:numCache>
                <c:formatCode>0.000</c:formatCode>
                <c:ptCount val="51"/>
                <c:pt idx="0">
                  <c:v>0</c:v>
                </c:pt>
                <c:pt idx="1">
                  <c:v>0.14989567961079264</c:v>
                </c:pt>
                <c:pt idx="2">
                  <c:v>0.27453779202344231</c:v>
                </c:pt>
                <c:pt idx="3">
                  <c:v>0.37812708926741867</c:v>
                </c:pt>
                <c:pt idx="4">
                  <c:v>0.46428421242016549</c:v>
                </c:pt>
                <c:pt idx="5">
                  <c:v>0.53606991106185153</c:v>
                </c:pt>
                <c:pt idx="6">
                  <c:v>0.59603674969421294</c:v>
                </c:pt>
                <c:pt idx="7">
                  <c:v>0.64629350488843063</c:v>
                </c:pt>
                <c:pt idx="8">
                  <c:v>0.6885712499199742</c:v>
                </c:pt>
                <c:pt idx="9">
                  <c:v>0.72428523165170322</c:v>
                </c:pt>
                <c:pt idx="10">
                  <c:v>0.75458982674217689</c:v>
                </c:pt>
                <c:pt idx="11">
                  <c:v>0.78042574078525584</c:v>
                </c:pt>
                <c:pt idx="12">
                  <c:v>0.80255964529264501</c:v>
                </c:pt>
                <c:pt idx="13">
                  <c:v>0.82161695494564357</c:v>
                </c:pt>
                <c:pt idx="14">
                  <c:v>0.83810864525670903</c:v>
                </c:pt>
                <c:pt idx="15">
                  <c:v>0.85245303560182206</c:v>
                </c:pt>
                <c:pt idx="16">
                  <c:v>0.86499339887190629</c:v>
                </c:pt>
                <c:pt idx="17">
                  <c:v>0.87601215668368637</c:v>
                </c:pt>
                <c:pt idx="18">
                  <c:v>0.88574230633148565</c:v>
                </c:pt>
                <c:pt idx="19">
                  <c:v>0.89437661724000339</c:v>
                </c:pt>
                <c:pt idx="20">
                  <c:v>0.90207503747893414</c:v>
                </c:pt>
                <c:pt idx="21">
                  <c:v>0.90897066732517284</c:v>
                </c:pt>
                <c:pt idx="22">
                  <c:v>0.91517458691162923</c:v>
                </c:pt>
                <c:pt idx="23">
                  <c:v>0.9207797675234537</c:v>
                </c:pt>
                <c:pt idx="24">
                  <c:v>0.92586424947103674</c:v>
                </c:pt>
                <c:pt idx="25">
                  <c:v>0.93049373198114071</c:v>
                </c:pt>
                <c:pt idx="26">
                  <c:v>0.93472369060796534</c:v>
                </c:pt>
                <c:pt idx="27">
                  <c:v>0.93860111386922462</c:v>
                </c:pt>
                <c:pt idx="28">
                  <c:v>0.9421659319642135</c:v>
                </c:pt>
                <c:pt idx="29">
                  <c:v>0.94545219554001558</c:v>
                </c:pt>
                <c:pt idx="30">
                  <c:v>0.94848905072830747</c:v>
                </c:pt>
                <c:pt idx="31">
                  <c:v>0.95130154742340634</c:v>
                </c:pt>
                <c:pt idx="32">
                  <c:v>0.9539113104862823</c:v>
                </c:pt>
                <c:pt idx="33">
                  <c:v>0.9563370978191762</c:v>
                </c:pt>
                <c:pt idx="34">
                  <c:v>0.95859526472722834</c:v>
                </c:pt>
                <c:pt idx="35">
                  <c:v>0.96070015040265822</c:v>
                </c:pt>
                <c:pt idx="36">
                  <c:v>0.96266439952480676</c:v>
                </c:pt>
                <c:pt idx="37">
                  <c:v>0.96449922970193358</c:v>
                </c:pt>
                <c:pt idx="38">
                  <c:v>0.96621465365994963</c:v>
                </c:pt>
                <c:pt idx="39">
                  <c:v>0.96781966360978733</c:v>
                </c:pt>
                <c:pt idx="40">
                  <c:v>0.96932238402203763</c:v>
                </c:pt>
                <c:pt idx="41">
                  <c:v>0.97073019804592664</c:v>
                </c:pt>
                <c:pt idx="42">
                  <c:v>0.97204985198470917</c:v>
                </c:pt>
                <c:pt idx="43">
                  <c:v>0.97328754154713315</c:v>
                </c:pt>
                <c:pt idx="44">
                  <c:v>0.97444898300898575</c:v>
                </c:pt>
                <c:pt idx="45">
                  <c:v>0.97553947192051327</c:v>
                </c:pt>
                <c:pt idx="46">
                  <c:v>0.97656393156987908</c:v>
                </c:pt>
                <c:pt idx="47">
                  <c:v>0.97752695304859072</c:v>
                </c:pt>
                <c:pt idx="48">
                  <c:v>0.97843282845310731</c:v>
                </c:pt>
                <c:pt idx="49">
                  <c:v>0.97928557849068409</c:v>
                </c:pt>
                <c:pt idx="50">
                  <c:v>0.98008897553113727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8D-4036-B09E-79FB7C6D38F7}"/>
            </c:ext>
          </c:extLst>
        </c:ser>
        <c:ser>
          <c:idx val="1"/>
          <c:order val="1"/>
          <c:tx>
            <c:strRef>
              <c:f>'WLTP Certification'!$P$6</c:f>
              <c:strCache>
                <c:ptCount val="1"/>
                <c:pt idx="0">
                  <c:v>2025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'WLTP Certification'!$N$7:$N$57</c:f>
              <c:numCache>
                <c:formatCode>General</c:formatCode>
                <c:ptCount val="5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  <c:pt idx="21">
                  <c:v>105</c:v>
                </c:pt>
                <c:pt idx="22">
                  <c:v>110</c:v>
                </c:pt>
                <c:pt idx="23">
                  <c:v>115</c:v>
                </c:pt>
                <c:pt idx="24">
                  <c:v>120</c:v>
                </c:pt>
                <c:pt idx="25">
                  <c:v>125</c:v>
                </c:pt>
                <c:pt idx="26">
                  <c:v>130</c:v>
                </c:pt>
                <c:pt idx="27">
                  <c:v>135</c:v>
                </c:pt>
                <c:pt idx="28">
                  <c:v>140</c:v>
                </c:pt>
                <c:pt idx="29">
                  <c:v>145</c:v>
                </c:pt>
                <c:pt idx="30">
                  <c:v>150</c:v>
                </c:pt>
                <c:pt idx="31">
                  <c:v>155</c:v>
                </c:pt>
                <c:pt idx="32">
                  <c:v>160</c:v>
                </c:pt>
                <c:pt idx="33">
                  <c:v>165</c:v>
                </c:pt>
                <c:pt idx="34">
                  <c:v>170</c:v>
                </c:pt>
                <c:pt idx="35">
                  <c:v>175</c:v>
                </c:pt>
                <c:pt idx="36">
                  <c:v>180</c:v>
                </c:pt>
                <c:pt idx="37">
                  <c:v>185</c:v>
                </c:pt>
                <c:pt idx="38">
                  <c:v>190</c:v>
                </c:pt>
                <c:pt idx="39">
                  <c:v>195</c:v>
                </c:pt>
                <c:pt idx="40">
                  <c:v>200</c:v>
                </c:pt>
                <c:pt idx="41">
                  <c:v>205</c:v>
                </c:pt>
                <c:pt idx="42">
                  <c:v>210</c:v>
                </c:pt>
                <c:pt idx="43">
                  <c:v>215</c:v>
                </c:pt>
                <c:pt idx="44">
                  <c:v>220</c:v>
                </c:pt>
                <c:pt idx="45">
                  <c:v>225</c:v>
                </c:pt>
                <c:pt idx="46">
                  <c:v>230</c:v>
                </c:pt>
                <c:pt idx="47">
                  <c:v>235</c:v>
                </c:pt>
                <c:pt idx="48">
                  <c:v>240</c:v>
                </c:pt>
                <c:pt idx="49">
                  <c:v>245</c:v>
                </c:pt>
                <c:pt idx="50">
                  <c:v>250</c:v>
                </c:pt>
              </c:numCache>
            </c:numRef>
          </c:cat>
          <c:val>
            <c:numRef>
              <c:f>'WLTP Certification'!$P$7:$P$57</c:f>
              <c:numCache>
                <c:formatCode>0.000</c:formatCode>
                <c:ptCount val="51"/>
                <c:pt idx="0">
                  <c:v>0</c:v>
                </c:pt>
                <c:pt idx="1">
                  <c:v>5.7718016909291681E-2</c:v>
                </c:pt>
                <c:pt idx="2">
                  <c:v>0.11170987306982627</c:v>
                </c:pt>
                <c:pt idx="3">
                  <c:v>0.16220308611859746</c:v>
                </c:pt>
                <c:pt idx="4">
                  <c:v>0.20941593242209333</c:v>
                </c:pt>
                <c:pt idx="5">
                  <c:v>0.2535568887918489</c:v>
                </c:pt>
                <c:pt idx="6">
                  <c:v>0.29482430051175967</c:v>
                </c:pt>
                <c:pt idx="7">
                  <c:v>0.33340623502870237</c:v>
                </c:pt>
                <c:pt idx="8">
                  <c:v>0.36948048604093631</c:v>
                </c:pt>
                <c:pt idx="9">
                  <c:v>0.4032146976298856</c:v>
                </c:pt>
                <c:pt idx="10">
                  <c:v>0.43476658250949007</c:v>
                </c:pt>
                <c:pt idx="11">
                  <c:v>0.46428421242016549</c:v>
                </c:pt>
                <c:pt idx="12">
                  <c:v>0.49190636219061812</c:v>
                </c:pt>
                <c:pt idx="13">
                  <c:v>0.5177628920576316</c:v>
                </c:pt>
                <c:pt idx="14">
                  <c:v>0.54197515550372632</c:v>
                </c:pt>
                <c:pt idx="15">
                  <c:v>0.56465642218015311</c:v>
                </c:pt>
                <c:pt idx="16">
                  <c:v>0.58591230746354905</c:v>
                </c:pt>
                <c:pt idx="17">
                  <c:v>0.60584120188377533</c:v>
                </c:pt>
                <c:pt idx="18">
                  <c:v>0.62453469509149606</c:v>
                </c:pt>
                <c:pt idx="19">
                  <c:v>0.6420779902383793</c:v>
                </c:pt>
                <c:pt idx="20">
                  <c:v>0.65855030564949257</c:v>
                </c:pt>
                <c:pt idx="21">
                  <c:v>0.67402526150294961</c:v>
                </c:pt>
                <c:pt idx="22">
                  <c:v>0.6885712499199742</c:v>
                </c:pt>
                <c:pt idx="23">
                  <c:v>0.70225178743059558</c:v>
                </c:pt>
                <c:pt idx="24">
                  <c:v>0.7151258492348973</c:v>
                </c:pt>
                <c:pt idx="25">
                  <c:v>0.72724818504372235</c:v>
                </c:pt>
                <c:pt idx="26">
                  <c:v>0.73866961657032049</c:v>
                </c:pt>
                <c:pt idx="27">
                  <c:v>0.74943731696814275</c:v>
                </c:pt>
                <c:pt idx="28">
                  <c:v>0.75959507268058335</c:v>
                </c:pt>
                <c:pt idx="29">
                  <c:v>0.76918352829517844</c:v>
                </c:pt>
                <c:pt idx="30">
                  <c:v>0.77824041508545994</c:v>
                </c:pt>
                <c:pt idx="31">
                  <c:v>0.78680076398501431</c:v>
                </c:pt>
                <c:pt idx="32">
                  <c:v>0.79489710377594536</c:v>
                </c:pt>
                <c:pt idx="33">
                  <c:v>0.80255964529264501</c:v>
                </c:pt>
                <c:pt idx="34">
                  <c:v>0.80981645244547995</c:v>
                </c:pt>
                <c:pt idx="35">
                  <c:v>0.81669360086102971</c:v>
                </c:pt>
                <c:pt idx="36">
                  <c:v>0.82321532491857874</c:v>
                </c:pt>
                <c:pt idx="37">
                  <c:v>0.82940415393892764</c:v>
                </c:pt>
                <c:pt idx="38">
                  <c:v>0.83528103825309119</c:v>
                </c:pt>
                <c:pt idx="39">
                  <c:v>0.84086546584656918</c:v>
                </c:pt>
                <c:pt idx="40">
                  <c:v>0.84617557024084722</c:v>
                </c:pt>
                <c:pt idx="41">
                  <c:v>0.85122823023853544</c:v>
                </c:pt>
                <c:pt idx="42">
                  <c:v>0.85603916212287567</c:v>
                </c:pt>
                <c:pt idx="43">
                  <c:v>0.86062300486681231</c:v>
                </c:pt>
                <c:pt idx="44">
                  <c:v>0.86499339887190629</c:v>
                </c:pt>
                <c:pt idx="45">
                  <c:v>0.86916305872339816</c:v>
                </c:pt>
                <c:pt idx="46">
                  <c:v>0.87314384041496385</c:v>
                </c:pt>
                <c:pt idx="47">
                  <c:v>0.87694680346532405</c:v>
                </c:pt>
                <c:pt idx="48">
                  <c:v>0.88058226831897424</c:v>
                </c:pt>
                <c:pt idx="49">
                  <c:v>0.88405986939498948</c:v>
                </c:pt>
                <c:pt idx="50">
                  <c:v>0.88738860412112242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8D-4036-B09E-79FB7C6D38F7}"/>
            </c:ext>
          </c:extLst>
        </c:ser>
        <c:ser>
          <c:idx val="2"/>
          <c:order val="2"/>
          <c:tx>
            <c:strRef>
              <c:f>'WLTP Certification'!$Q$6</c:f>
              <c:strCache>
                <c:ptCount val="1"/>
                <c:pt idx="0">
                  <c:v>2027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'WLTP Certification'!$N$7:$N$57</c:f>
              <c:numCache>
                <c:formatCode>General</c:formatCode>
                <c:ptCount val="5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  <c:pt idx="21">
                  <c:v>105</c:v>
                </c:pt>
                <c:pt idx="22">
                  <c:v>110</c:v>
                </c:pt>
                <c:pt idx="23">
                  <c:v>115</c:v>
                </c:pt>
                <c:pt idx="24">
                  <c:v>120</c:v>
                </c:pt>
                <c:pt idx="25">
                  <c:v>125</c:v>
                </c:pt>
                <c:pt idx="26">
                  <c:v>130</c:v>
                </c:pt>
                <c:pt idx="27">
                  <c:v>135</c:v>
                </c:pt>
                <c:pt idx="28">
                  <c:v>140</c:v>
                </c:pt>
                <c:pt idx="29">
                  <c:v>145</c:v>
                </c:pt>
                <c:pt idx="30">
                  <c:v>150</c:v>
                </c:pt>
                <c:pt idx="31">
                  <c:v>155</c:v>
                </c:pt>
                <c:pt idx="32">
                  <c:v>160</c:v>
                </c:pt>
                <c:pt idx="33">
                  <c:v>165</c:v>
                </c:pt>
                <c:pt idx="34">
                  <c:v>170</c:v>
                </c:pt>
                <c:pt idx="35">
                  <c:v>175</c:v>
                </c:pt>
                <c:pt idx="36">
                  <c:v>180</c:v>
                </c:pt>
                <c:pt idx="37">
                  <c:v>185</c:v>
                </c:pt>
                <c:pt idx="38">
                  <c:v>190</c:v>
                </c:pt>
                <c:pt idx="39">
                  <c:v>195</c:v>
                </c:pt>
                <c:pt idx="40">
                  <c:v>200</c:v>
                </c:pt>
                <c:pt idx="41">
                  <c:v>205</c:v>
                </c:pt>
                <c:pt idx="42">
                  <c:v>210</c:v>
                </c:pt>
                <c:pt idx="43">
                  <c:v>215</c:v>
                </c:pt>
                <c:pt idx="44">
                  <c:v>220</c:v>
                </c:pt>
                <c:pt idx="45">
                  <c:v>225</c:v>
                </c:pt>
                <c:pt idx="46">
                  <c:v>230</c:v>
                </c:pt>
                <c:pt idx="47">
                  <c:v>235</c:v>
                </c:pt>
                <c:pt idx="48">
                  <c:v>240</c:v>
                </c:pt>
                <c:pt idx="49">
                  <c:v>245</c:v>
                </c:pt>
                <c:pt idx="50">
                  <c:v>250</c:v>
                </c:pt>
              </c:numCache>
            </c:numRef>
          </c:cat>
          <c:val>
            <c:numRef>
              <c:f>'WLTP Certification'!$Q$7:$Q$57</c:f>
              <c:numCache>
                <c:formatCode>0.000</c:formatCode>
                <c:ptCount val="51"/>
                <c:pt idx="0">
                  <c:v>0</c:v>
                </c:pt>
                <c:pt idx="1">
                  <c:v>3.0287076673711111E-2</c:v>
                </c:pt>
                <c:pt idx="2">
                  <c:v>5.9550344424464607E-2</c:v>
                </c:pt>
                <c:pt idx="3">
                  <c:v>8.7822007380450651E-2</c:v>
                </c:pt>
                <c:pt idx="4">
                  <c:v>0.11513366635925404</c:v>
                </c:pt>
                <c:pt idx="5">
                  <c:v>0.14151628631254209</c:v>
                </c:pt>
                <c:pt idx="6">
                  <c:v>0.16700016935879358</c:v>
                </c:pt>
                <c:pt idx="7">
                  <c:v>0.19161493290780307</c:v>
                </c:pt>
                <c:pt idx="8">
                  <c:v>0.21538949241203276</c:v>
                </c:pt>
                <c:pt idx="9">
                  <c:v>0.2383520483102648</c:v>
                </c:pt>
                <c:pt idx="10">
                  <c:v>0.26053007675832507</c:v>
                </c:pt>
                <c:pt idx="11">
                  <c:v>0.28195032376981544</c:v>
                </c:pt>
                <c:pt idx="12">
                  <c:v>0.30263880241675833</c:v>
                </c:pt>
                <c:pt idx="13">
                  <c:v>0.32262079276577726</c:v>
                </c:pt>
                <c:pt idx="14">
                  <c:v>0.34192084424989355</c:v>
                </c:pt>
                <c:pt idx="15">
                  <c:v>0.3605627801991963</c:v>
                </c:pt>
                <c:pt idx="16">
                  <c:v>0.37856970427556502</c:v>
                </c:pt>
                <c:pt idx="17">
                  <c:v>0.39596400857727443</c:v>
                </c:pt>
                <c:pt idx="18">
                  <c:v>0.41276738319874884</c:v>
                </c:pt>
                <c:pt idx="19">
                  <c:v>0.42900082704895925</c:v>
                </c:pt>
                <c:pt idx="20">
                  <c:v>0.44468465974902549</c:v>
                </c:pt>
                <c:pt idx="21">
                  <c:v>0.4598385344455278</c:v>
                </c:pt>
                <c:pt idx="22">
                  <c:v>0.47448145139089426</c:v>
                </c:pt>
                <c:pt idx="23">
                  <c:v>0.48863177215606202</c:v>
                </c:pt>
                <c:pt idx="24">
                  <c:v>0.50230723435344971</c:v>
                </c:pt>
                <c:pt idx="25">
                  <c:v>0.51552496676017956</c:v>
                </c:pt>
                <c:pt idx="26">
                  <c:v>0.52830150474250503</c:v>
                </c:pt>
                <c:pt idx="27">
                  <c:v>0.54065280589256748</c:v>
                </c:pt>
                <c:pt idx="28">
                  <c:v>0.55259426579797921</c:v>
                </c:pt>
                <c:pt idx="29">
                  <c:v>0.56414073387336661</c:v>
                </c:pt>
                <c:pt idx="30">
                  <c:v>0.57530652919092762</c:v>
                </c:pt>
                <c:pt idx="31">
                  <c:v>0.58610545625433186</c:v>
                </c:pt>
                <c:pt idx="32">
                  <c:v>0.5965508206669462</c:v>
                </c:pt>
                <c:pt idx="33">
                  <c:v>0.60665544465145238</c:v>
                </c:pt>
                <c:pt idx="34">
                  <c:v>0.6164316823834709</c:v>
                </c:pt>
                <c:pt idx="35">
                  <c:v>0.62589143510685474</c:v>
                </c:pt>
                <c:pt idx="36">
                  <c:v>0.63504616600291408</c:v>
                </c:pt>
                <c:pt idx="37">
                  <c:v>0.64390691478998885</c:v>
                </c:pt>
                <c:pt idx="38">
                  <c:v>0.65248431203356039</c:v>
                </c:pt>
                <c:pt idx="39">
                  <c:v>0.66078859315049687</c:v>
                </c:pt>
                <c:pt idx="40">
                  <c:v>0.66882961209409242</c:v>
                </c:pt>
                <c:pt idx="41">
                  <c:v>0.67661685470931898</c:v>
                </c:pt>
                <c:pt idx="42">
                  <c:v>0.68415945175018344</c:v>
                </c:pt>
                <c:pt idx="43">
                  <c:v>0.69146619155329203</c:v>
                </c:pt>
                <c:pt idx="44">
                  <c:v>0.69854553236369732</c:v>
                </c:pt>
                <c:pt idx="45">
                  <c:v>0.70540561431085158</c:v>
                </c:pt>
                <c:pt idx="46">
                  <c:v>0.71205427103405061</c:v>
                </c:pt>
                <c:pt idx="47">
                  <c:v>0.71849904095810513</c:v>
                </c:pt>
                <c:pt idx="48">
                  <c:v>0.7247471782211985</c:v>
                </c:pt>
                <c:pt idx="49">
                  <c:v>0.73080566325791874</c:v>
                </c:pt>
                <c:pt idx="50">
                  <c:v>0.73668121304138556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8D-4036-B09E-79FB7C6D38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35966200"/>
        <c:axId val="1635965120"/>
      </c:lineChart>
      <c:catAx>
        <c:axId val="1635966200"/>
        <c:scaling>
          <c:orientation val="minMax"/>
        </c:scaling>
        <c:delete val="0"/>
        <c:axPos val="b"/>
        <c:title>
          <c:tx>
            <c:strRef>
              <c:f>'WLTP Certification'!$S$5</c:f>
              <c:strCache>
                <c:ptCount val="1"/>
                <c:pt idx="0">
                  <c:v>Range (km)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5965120"/>
        <c:crosses val="autoZero"/>
        <c:auto val="1"/>
        <c:lblAlgn val="ctr"/>
        <c:lblOffset val="100"/>
        <c:noMultiLvlLbl val="0"/>
      </c:catAx>
      <c:valAx>
        <c:axId val="1635965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'WLTP Certification'!$S$6</c:f>
              <c:strCache>
                <c:ptCount val="1"/>
                <c:pt idx="0">
                  <c:v>Utility Factor (UF)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59662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994356955380574"/>
          <c:y val="0.32511883931175267"/>
          <c:w val="0.18338976377952756"/>
          <c:h val="0.295595290172061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'WLTP Certification'!$S$4</c:f>
          <c:strCache>
            <c:ptCount val="1"/>
            <c:pt idx="0">
              <c:v>WLTP Utility Factors (UF) for OVC-HEVs and OVC-FCEVs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902799650043744"/>
          <c:y val="0.14953703703703702"/>
          <c:w val="0.69335634415561065"/>
          <c:h val="0.66321741032370962"/>
        </c:manualLayout>
      </c:layout>
      <c:lineChart>
        <c:grouping val="standard"/>
        <c:varyColors val="0"/>
        <c:ser>
          <c:idx val="0"/>
          <c:order val="0"/>
          <c:tx>
            <c:strRef>
              <c:f>'WLTP Certification'!$O$6</c:f>
              <c:strCache>
                <c:ptCount val="1"/>
                <c:pt idx="0">
                  <c:v>pre-2025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'WLTP Certification'!$N$7:$N$57</c:f>
              <c:numCache>
                <c:formatCode>General</c:formatCode>
                <c:ptCount val="5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  <c:pt idx="21">
                  <c:v>105</c:v>
                </c:pt>
                <c:pt idx="22">
                  <c:v>110</c:v>
                </c:pt>
                <c:pt idx="23">
                  <c:v>115</c:v>
                </c:pt>
                <c:pt idx="24">
                  <c:v>120</c:v>
                </c:pt>
                <c:pt idx="25">
                  <c:v>125</c:v>
                </c:pt>
                <c:pt idx="26">
                  <c:v>130</c:v>
                </c:pt>
                <c:pt idx="27">
                  <c:v>135</c:v>
                </c:pt>
                <c:pt idx="28">
                  <c:v>140</c:v>
                </c:pt>
                <c:pt idx="29">
                  <c:v>145</c:v>
                </c:pt>
                <c:pt idx="30">
                  <c:v>150</c:v>
                </c:pt>
                <c:pt idx="31">
                  <c:v>155</c:v>
                </c:pt>
                <c:pt idx="32">
                  <c:v>160</c:v>
                </c:pt>
                <c:pt idx="33">
                  <c:v>165</c:v>
                </c:pt>
                <c:pt idx="34">
                  <c:v>170</c:v>
                </c:pt>
                <c:pt idx="35">
                  <c:v>175</c:v>
                </c:pt>
                <c:pt idx="36">
                  <c:v>180</c:v>
                </c:pt>
                <c:pt idx="37">
                  <c:v>185</c:v>
                </c:pt>
                <c:pt idx="38">
                  <c:v>190</c:v>
                </c:pt>
                <c:pt idx="39">
                  <c:v>195</c:v>
                </c:pt>
                <c:pt idx="40">
                  <c:v>200</c:v>
                </c:pt>
                <c:pt idx="41">
                  <c:v>205</c:v>
                </c:pt>
                <c:pt idx="42">
                  <c:v>210</c:v>
                </c:pt>
                <c:pt idx="43">
                  <c:v>215</c:v>
                </c:pt>
                <c:pt idx="44">
                  <c:v>220</c:v>
                </c:pt>
                <c:pt idx="45">
                  <c:v>225</c:v>
                </c:pt>
                <c:pt idx="46">
                  <c:v>230</c:v>
                </c:pt>
                <c:pt idx="47">
                  <c:v>235</c:v>
                </c:pt>
                <c:pt idx="48">
                  <c:v>240</c:v>
                </c:pt>
                <c:pt idx="49">
                  <c:v>245</c:v>
                </c:pt>
                <c:pt idx="50">
                  <c:v>250</c:v>
                </c:pt>
              </c:numCache>
            </c:numRef>
          </c:cat>
          <c:val>
            <c:numRef>
              <c:f>'WLTP Certification'!$O$7:$O$57</c:f>
              <c:numCache>
                <c:formatCode>0.000</c:formatCode>
                <c:ptCount val="51"/>
                <c:pt idx="0">
                  <c:v>0</c:v>
                </c:pt>
                <c:pt idx="1">
                  <c:v>0.14989567961079264</c:v>
                </c:pt>
                <c:pt idx="2">
                  <c:v>0.27453779202344231</c:v>
                </c:pt>
                <c:pt idx="3">
                  <c:v>0.37812708926741867</c:v>
                </c:pt>
                <c:pt idx="4">
                  <c:v>0.46428421242016549</c:v>
                </c:pt>
                <c:pt idx="5">
                  <c:v>0.53606991106185153</c:v>
                </c:pt>
                <c:pt idx="6">
                  <c:v>0.59603674969421294</c:v>
                </c:pt>
                <c:pt idx="7">
                  <c:v>0.64629350488843063</c:v>
                </c:pt>
                <c:pt idx="8">
                  <c:v>0.6885712499199742</c:v>
                </c:pt>
                <c:pt idx="9">
                  <c:v>0.72428523165170322</c:v>
                </c:pt>
                <c:pt idx="10">
                  <c:v>0.75458982674217689</c:v>
                </c:pt>
                <c:pt idx="11">
                  <c:v>0.78042574078525584</c:v>
                </c:pt>
                <c:pt idx="12">
                  <c:v>0.80255964529264501</c:v>
                </c:pt>
                <c:pt idx="13">
                  <c:v>0.82161695494564357</c:v>
                </c:pt>
                <c:pt idx="14">
                  <c:v>0.83810864525670903</c:v>
                </c:pt>
                <c:pt idx="15">
                  <c:v>0.85245303560182206</c:v>
                </c:pt>
                <c:pt idx="16">
                  <c:v>0.86499339887190629</c:v>
                </c:pt>
                <c:pt idx="17">
                  <c:v>0.87601215668368637</c:v>
                </c:pt>
                <c:pt idx="18">
                  <c:v>0.88574230633148565</c:v>
                </c:pt>
                <c:pt idx="19">
                  <c:v>0.89437661724000339</c:v>
                </c:pt>
                <c:pt idx="20">
                  <c:v>0.90207503747893414</c:v>
                </c:pt>
                <c:pt idx="21">
                  <c:v>0.90897066732517284</c:v>
                </c:pt>
                <c:pt idx="22">
                  <c:v>0.91517458691162923</c:v>
                </c:pt>
                <c:pt idx="23">
                  <c:v>0.9207797675234537</c:v>
                </c:pt>
                <c:pt idx="24">
                  <c:v>0.92586424947103674</c:v>
                </c:pt>
                <c:pt idx="25">
                  <c:v>0.93049373198114071</c:v>
                </c:pt>
                <c:pt idx="26">
                  <c:v>0.93472369060796534</c:v>
                </c:pt>
                <c:pt idx="27">
                  <c:v>0.93860111386922462</c:v>
                </c:pt>
                <c:pt idx="28">
                  <c:v>0.9421659319642135</c:v>
                </c:pt>
                <c:pt idx="29">
                  <c:v>0.94545219554001558</c:v>
                </c:pt>
                <c:pt idx="30">
                  <c:v>0.94848905072830747</c:v>
                </c:pt>
                <c:pt idx="31">
                  <c:v>0.95130154742340634</c:v>
                </c:pt>
                <c:pt idx="32">
                  <c:v>0.9539113104862823</c:v>
                </c:pt>
                <c:pt idx="33">
                  <c:v>0.9563370978191762</c:v>
                </c:pt>
                <c:pt idx="34">
                  <c:v>0.95859526472722834</c:v>
                </c:pt>
                <c:pt idx="35">
                  <c:v>0.96070015040265822</c:v>
                </c:pt>
                <c:pt idx="36">
                  <c:v>0.96266439952480676</c:v>
                </c:pt>
                <c:pt idx="37">
                  <c:v>0.96449922970193358</c:v>
                </c:pt>
                <c:pt idx="38">
                  <c:v>0.96621465365994963</c:v>
                </c:pt>
                <c:pt idx="39">
                  <c:v>0.96781966360978733</c:v>
                </c:pt>
                <c:pt idx="40">
                  <c:v>0.96932238402203763</c:v>
                </c:pt>
                <c:pt idx="41">
                  <c:v>0.97073019804592664</c:v>
                </c:pt>
                <c:pt idx="42">
                  <c:v>0.97204985198470917</c:v>
                </c:pt>
                <c:pt idx="43">
                  <c:v>0.97328754154713315</c:v>
                </c:pt>
                <c:pt idx="44">
                  <c:v>0.97444898300898575</c:v>
                </c:pt>
                <c:pt idx="45">
                  <c:v>0.97553947192051327</c:v>
                </c:pt>
                <c:pt idx="46">
                  <c:v>0.97656393156987908</c:v>
                </c:pt>
                <c:pt idx="47">
                  <c:v>0.97752695304859072</c:v>
                </c:pt>
                <c:pt idx="48">
                  <c:v>0.97843282845310731</c:v>
                </c:pt>
                <c:pt idx="49">
                  <c:v>0.97928557849068409</c:v>
                </c:pt>
                <c:pt idx="50">
                  <c:v>0.98008897553113727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D5-482F-88F0-552705B70DA6}"/>
            </c:ext>
          </c:extLst>
        </c:ser>
        <c:ser>
          <c:idx val="1"/>
          <c:order val="1"/>
          <c:tx>
            <c:strRef>
              <c:f>'WLTP Certification'!$P$6</c:f>
              <c:strCache>
                <c:ptCount val="1"/>
                <c:pt idx="0">
                  <c:v>2025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'WLTP Certification'!$N$7:$N$57</c:f>
              <c:numCache>
                <c:formatCode>General</c:formatCode>
                <c:ptCount val="5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  <c:pt idx="21">
                  <c:v>105</c:v>
                </c:pt>
                <c:pt idx="22">
                  <c:v>110</c:v>
                </c:pt>
                <c:pt idx="23">
                  <c:v>115</c:v>
                </c:pt>
                <c:pt idx="24">
                  <c:v>120</c:v>
                </c:pt>
                <c:pt idx="25">
                  <c:v>125</c:v>
                </c:pt>
                <c:pt idx="26">
                  <c:v>130</c:v>
                </c:pt>
                <c:pt idx="27">
                  <c:v>135</c:v>
                </c:pt>
                <c:pt idx="28">
                  <c:v>140</c:v>
                </c:pt>
                <c:pt idx="29">
                  <c:v>145</c:v>
                </c:pt>
                <c:pt idx="30">
                  <c:v>150</c:v>
                </c:pt>
                <c:pt idx="31">
                  <c:v>155</c:v>
                </c:pt>
                <c:pt idx="32">
                  <c:v>160</c:v>
                </c:pt>
                <c:pt idx="33">
                  <c:v>165</c:v>
                </c:pt>
                <c:pt idx="34">
                  <c:v>170</c:v>
                </c:pt>
                <c:pt idx="35">
                  <c:v>175</c:v>
                </c:pt>
                <c:pt idx="36">
                  <c:v>180</c:v>
                </c:pt>
                <c:pt idx="37">
                  <c:v>185</c:v>
                </c:pt>
                <c:pt idx="38">
                  <c:v>190</c:v>
                </c:pt>
                <c:pt idx="39">
                  <c:v>195</c:v>
                </c:pt>
                <c:pt idx="40">
                  <c:v>200</c:v>
                </c:pt>
                <c:pt idx="41">
                  <c:v>205</c:v>
                </c:pt>
                <c:pt idx="42">
                  <c:v>210</c:v>
                </c:pt>
                <c:pt idx="43">
                  <c:v>215</c:v>
                </c:pt>
                <c:pt idx="44">
                  <c:v>220</c:v>
                </c:pt>
                <c:pt idx="45">
                  <c:v>225</c:v>
                </c:pt>
                <c:pt idx="46">
                  <c:v>230</c:v>
                </c:pt>
                <c:pt idx="47">
                  <c:v>235</c:v>
                </c:pt>
                <c:pt idx="48">
                  <c:v>240</c:v>
                </c:pt>
                <c:pt idx="49">
                  <c:v>245</c:v>
                </c:pt>
                <c:pt idx="50">
                  <c:v>250</c:v>
                </c:pt>
              </c:numCache>
            </c:numRef>
          </c:cat>
          <c:val>
            <c:numRef>
              <c:f>'WLTP Certification'!$P$7:$P$57</c:f>
              <c:numCache>
                <c:formatCode>0.000</c:formatCode>
                <c:ptCount val="51"/>
                <c:pt idx="0">
                  <c:v>0</c:v>
                </c:pt>
                <c:pt idx="1">
                  <c:v>5.7718016909291681E-2</c:v>
                </c:pt>
                <c:pt idx="2">
                  <c:v>0.11170987306982627</c:v>
                </c:pt>
                <c:pt idx="3">
                  <c:v>0.16220308611859746</c:v>
                </c:pt>
                <c:pt idx="4">
                  <c:v>0.20941593242209333</c:v>
                </c:pt>
                <c:pt idx="5">
                  <c:v>0.2535568887918489</c:v>
                </c:pt>
                <c:pt idx="6">
                  <c:v>0.29482430051175967</c:v>
                </c:pt>
                <c:pt idx="7">
                  <c:v>0.33340623502870237</c:v>
                </c:pt>
                <c:pt idx="8">
                  <c:v>0.36948048604093631</c:v>
                </c:pt>
                <c:pt idx="9">
                  <c:v>0.4032146976298856</c:v>
                </c:pt>
                <c:pt idx="10">
                  <c:v>0.43476658250949007</c:v>
                </c:pt>
                <c:pt idx="11">
                  <c:v>0.46428421242016549</c:v>
                </c:pt>
                <c:pt idx="12">
                  <c:v>0.49190636219061812</c:v>
                </c:pt>
                <c:pt idx="13">
                  <c:v>0.5177628920576316</c:v>
                </c:pt>
                <c:pt idx="14">
                  <c:v>0.54197515550372632</c:v>
                </c:pt>
                <c:pt idx="15">
                  <c:v>0.56465642218015311</c:v>
                </c:pt>
                <c:pt idx="16">
                  <c:v>0.58591230746354905</c:v>
                </c:pt>
                <c:pt idx="17">
                  <c:v>0.60584120188377533</c:v>
                </c:pt>
                <c:pt idx="18">
                  <c:v>0.62453469509149606</c:v>
                </c:pt>
                <c:pt idx="19">
                  <c:v>0.6420779902383793</c:v>
                </c:pt>
                <c:pt idx="20">
                  <c:v>0.65855030564949257</c:v>
                </c:pt>
                <c:pt idx="21">
                  <c:v>0.67402526150294961</c:v>
                </c:pt>
                <c:pt idx="22">
                  <c:v>0.6885712499199742</c:v>
                </c:pt>
                <c:pt idx="23">
                  <c:v>0.70225178743059558</c:v>
                </c:pt>
                <c:pt idx="24">
                  <c:v>0.7151258492348973</c:v>
                </c:pt>
                <c:pt idx="25">
                  <c:v>0.72724818504372235</c:v>
                </c:pt>
                <c:pt idx="26">
                  <c:v>0.73866961657032049</c:v>
                </c:pt>
                <c:pt idx="27">
                  <c:v>0.74943731696814275</c:v>
                </c:pt>
                <c:pt idx="28">
                  <c:v>0.75959507268058335</c:v>
                </c:pt>
                <c:pt idx="29">
                  <c:v>0.76918352829517844</c:v>
                </c:pt>
                <c:pt idx="30">
                  <c:v>0.77824041508545994</c:v>
                </c:pt>
                <c:pt idx="31">
                  <c:v>0.78680076398501431</c:v>
                </c:pt>
                <c:pt idx="32">
                  <c:v>0.79489710377594536</c:v>
                </c:pt>
                <c:pt idx="33">
                  <c:v>0.80255964529264501</c:v>
                </c:pt>
                <c:pt idx="34">
                  <c:v>0.80981645244547995</c:v>
                </c:pt>
                <c:pt idx="35">
                  <c:v>0.81669360086102971</c:v>
                </c:pt>
                <c:pt idx="36">
                  <c:v>0.82321532491857874</c:v>
                </c:pt>
                <c:pt idx="37">
                  <c:v>0.82940415393892764</c:v>
                </c:pt>
                <c:pt idx="38">
                  <c:v>0.83528103825309119</c:v>
                </c:pt>
                <c:pt idx="39">
                  <c:v>0.84086546584656918</c:v>
                </c:pt>
                <c:pt idx="40">
                  <c:v>0.84617557024084722</c:v>
                </c:pt>
                <c:pt idx="41">
                  <c:v>0.85122823023853544</c:v>
                </c:pt>
                <c:pt idx="42">
                  <c:v>0.85603916212287567</c:v>
                </c:pt>
                <c:pt idx="43">
                  <c:v>0.86062300486681231</c:v>
                </c:pt>
                <c:pt idx="44">
                  <c:v>0.86499339887190629</c:v>
                </c:pt>
                <c:pt idx="45">
                  <c:v>0.86916305872339816</c:v>
                </c:pt>
                <c:pt idx="46">
                  <c:v>0.87314384041496385</c:v>
                </c:pt>
                <c:pt idx="47">
                  <c:v>0.87694680346532405</c:v>
                </c:pt>
                <c:pt idx="48">
                  <c:v>0.88058226831897424</c:v>
                </c:pt>
                <c:pt idx="49">
                  <c:v>0.88405986939498948</c:v>
                </c:pt>
                <c:pt idx="50">
                  <c:v>0.88738860412112242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D5-482F-88F0-552705B70DA6}"/>
            </c:ext>
          </c:extLst>
        </c:ser>
        <c:ser>
          <c:idx val="2"/>
          <c:order val="2"/>
          <c:tx>
            <c:strRef>
              <c:f>'WLTP Certification'!$Q$6</c:f>
              <c:strCache>
                <c:ptCount val="1"/>
                <c:pt idx="0">
                  <c:v>2027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'WLTP Certification'!$N$7:$N$57</c:f>
              <c:numCache>
                <c:formatCode>General</c:formatCode>
                <c:ptCount val="5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  <c:pt idx="21">
                  <c:v>105</c:v>
                </c:pt>
                <c:pt idx="22">
                  <c:v>110</c:v>
                </c:pt>
                <c:pt idx="23">
                  <c:v>115</c:v>
                </c:pt>
                <c:pt idx="24">
                  <c:v>120</c:v>
                </c:pt>
                <c:pt idx="25">
                  <c:v>125</c:v>
                </c:pt>
                <c:pt idx="26">
                  <c:v>130</c:v>
                </c:pt>
                <c:pt idx="27">
                  <c:v>135</c:v>
                </c:pt>
                <c:pt idx="28">
                  <c:v>140</c:v>
                </c:pt>
                <c:pt idx="29">
                  <c:v>145</c:v>
                </c:pt>
                <c:pt idx="30">
                  <c:v>150</c:v>
                </c:pt>
                <c:pt idx="31">
                  <c:v>155</c:v>
                </c:pt>
                <c:pt idx="32">
                  <c:v>160</c:v>
                </c:pt>
                <c:pt idx="33">
                  <c:v>165</c:v>
                </c:pt>
                <c:pt idx="34">
                  <c:v>170</c:v>
                </c:pt>
                <c:pt idx="35">
                  <c:v>175</c:v>
                </c:pt>
                <c:pt idx="36">
                  <c:v>180</c:v>
                </c:pt>
                <c:pt idx="37">
                  <c:v>185</c:v>
                </c:pt>
                <c:pt idx="38">
                  <c:v>190</c:v>
                </c:pt>
                <c:pt idx="39">
                  <c:v>195</c:v>
                </c:pt>
                <c:pt idx="40">
                  <c:v>200</c:v>
                </c:pt>
                <c:pt idx="41">
                  <c:v>205</c:v>
                </c:pt>
                <c:pt idx="42">
                  <c:v>210</c:v>
                </c:pt>
                <c:pt idx="43">
                  <c:v>215</c:v>
                </c:pt>
                <c:pt idx="44">
                  <c:v>220</c:v>
                </c:pt>
                <c:pt idx="45">
                  <c:v>225</c:v>
                </c:pt>
                <c:pt idx="46">
                  <c:v>230</c:v>
                </c:pt>
                <c:pt idx="47">
                  <c:v>235</c:v>
                </c:pt>
                <c:pt idx="48">
                  <c:v>240</c:v>
                </c:pt>
                <c:pt idx="49">
                  <c:v>245</c:v>
                </c:pt>
                <c:pt idx="50">
                  <c:v>250</c:v>
                </c:pt>
              </c:numCache>
            </c:numRef>
          </c:cat>
          <c:val>
            <c:numRef>
              <c:f>'WLTP Certification'!$Q$7:$Q$57</c:f>
              <c:numCache>
                <c:formatCode>0.000</c:formatCode>
                <c:ptCount val="51"/>
                <c:pt idx="0">
                  <c:v>0</c:v>
                </c:pt>
                <c:pt idx="1">
                  <c:v>3.0287076673711111E-2</c:v>
                </c:pt>
                <c:pt idx="2">
                  <c:v>5.9550344424464607E-2</c:v>
                </c:pt>
                <c:pt idx="3">
                  <c:v>8.7822007380450651E-2</c:v>
                </c:pt>
                <c:pt idx="4">
                  <c:v>0.11513366635925404</c:v>
                </c:pt>
                <c:pt idx="5">
                  <c:v>0.14151628631254209</c:v>
                </c:pt>
                <c:pt idx="6">
                  <c:v>0.16700016935879358</c:v>
                </c:pt>
                <c:pt idx="7">
                  <c:v>0.19161493290780307</c:v>
                </c:pt>
                <c:pt idx="8">
                  <c:v>0.21538949241203276</c:v>
                </c:pt>
                <c:pt idx="9">
                  <c:v>0.2383520483102648</c:v>
                </c:pt>
                <c:pt idx="10">
                  <c:v>0.26053007675832507</c:v>
                </c:pt>
                <c:pt idx="11">
                  <c:v>0.28195032376981544</c:v>
                </c:pt>
                <c:pt idx="12">
                  <c:v>0.30263880241675833</c:v>
                </c:pt>
                <c:pt idx="13">
                  <c:v>0.32262079276577726</c:v>
                </c:pt>
                <c:pt idx="14">
                  <c:v>0.34192084424989355</c:v>
                </c:pt>
                <c:pt idx="15">
                  <c:v>0.3605627801991963</c:v>
                </c:pt>
                <c:pt idx="16">
                  <c:v>0.37856970427556502</c:v>
                </c:pt>
                <c:pt idx="17">
                  <c:v>0.39596400857727443</c:v>
                </c:pt>
                <c:pt idx="18">
                  <c:v>0.41276738319874884</c:v>
                </c:pt>
                <c:pt idx="19">
                  <c:v>0.42900082704895925</c:v>
                </c:pt>
                <c:pt idx="20">
                  <c:v>0.44468465974902549</c:v>
                </c:pt>
                <c:pt idx="21">
                  <c:v>0.4598385344455278</c:v>
                </c:pt>
                <c:pt idx="22">
                  <c:v>0.47448145139089426</c:v>
                </c:pt>
                <c:pt idx="23">
                  <c:v>0.48863177215606202</c:v>
                </c:pt>
                <c:pt idx="24">
                  <c:v>0.50230723435344971</c:v>
                </c:pt>
                <c:pt idx="25">
                  <c:v>0.51552496676017956</c:v>
                </c:pt>
                <c:pt idx="26">
                  <c:v>0.52830150474250503</c:v>
                </c:pt>
                <c:pt idx="27">
                  <c:v>0.54065280589256748</c:v>
                </c:pt>
                <c:pt idx="28">
                  <c:v>0.55259426579797921</c:v>
                </c:pt>
                <c:pt idx="29">
                  <c:v>0.56414073387336661</c:v>
                </c:pt>
                <c:pt idx="30">
                  <c:v>0.57530652919092762</c:v>
                </c:pt>
                <c:pt idx="31">
                  <c:v>0.58610545625433186</c:v>
                </c:pt>
                <c:pt idx="32">
                  <c:v>0.5965508206669462</c:v>
                </c:pt>
                <c:pt idx="33">
                  <c:v>0.60665544465145238</c:v>
                </c:pt>
                <c:pt idx="34">
                  <c:v>0.6164316823834709</c:v>
                </c:pt>
                <c:pt idx="35">
                  <c:v>0.62589143510685474</c:v>
                </c:pt>
                <c:pt idx="36">
                  <c:v>0.63504616600291408</c:v>
                </c:pt>
                <c:pt idx="37">
                  <c:v>0.64390691478998885</c:v>
                </c:pt>
                <c:pt idx="38">
                  <c:v>0.65248431203356039</c:v>
                </c:pt>
                <c:pt idx="39">
                  <c:v>0.66078859315049687</c:v>
                </c:pt>
                <c:pt idx="40">
                  <c:v>0.66882961209409242</c:v>
                </c:pt>
                <c:pt idx="41">
                  <c:v>0.67661685470931898</c:v>
                </c:pt>
                <c:pt idx="42">
                  <c:v>0.68415945175018344</c:v>
                </c:pt>
                <c:pt idx="43">
                  <c:v>0.69146619155329203</c:v>
                </c:pt>
                <c:pt idx="44">
                  <c:v>0.69854553236369732</c:v>
                </c:pt>
                <c:pt idx="45">
                  <c:v>0.70540561431085158</c:v>
                </c:pt>
                <c:pt idx="46">
                  <c:v>0.71205427103405061</c:v>
                </c:pt>
                <c:pt idx="47">
                  <c:v>0.71849904095810513</c:v>
                </c:pt>
                <c:pt idx="48">
                  <c:v>0.7247471782211985</c:v>
                </c:pt>
                <c:pt idx="49">
                  <c:v>0.73080566325791874</c:v>
                </c:pt>
                <c:pt idx="50">
                  <c:v>0.73668121304138556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D5-482F-88F0-552705B70D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35966200"/>
        <c:axId val="1635965120"/>
      </c:lineChart>
      <c:catAx>
        <c:axId val="1635966200"/>
        <c:scaling>
          <c:orientation val="minMax"/>
        </c:scaling>
        <c:delete val="0"/>
        <c:axPos val="b"/>
        <c:title>
          <c:tx>
            <c:strRef>
              <c:f>'WLTP Certification'!$S$5</c:f>
              <c:strCache>
                <c:ptCount val="1"/>
                <c:pt idx="0">
                  <c:v>Range (km)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5965120"/>
        <c:crosses val="autoZero"/>
        <c:auto val="1"/>
        <c:lblAlgn val="ctr"/>
        <c:lblOffset val="100"/>
        <c:noMultiLvlLbl val="0"/>
      </c:catAx>
      <c:valAx>
        <c:axId val="1635965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'WLTP Certification'!$S$6</c:f>
              <c:strCache>
                <c:ptCount val="1"/>
                <c:pt idx="0">
                  <c:v>Utility Factor (UF)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59662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994356955380574"/>
          <c:y val="0.32511883931175267"/>
          <c:w val="0.18338976377952756"/>
          <c:h val="0.295595290172061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3.png"/><Relationship Id="rId7" Type="http://schemas.openxmlformats.org/officeDocument/2006/relationships/image" Target="../media/image6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chart" Target="../charts/chart1.xml"/><Relationship Id="rId5" Type="http://schemas.openxmlformats.org/officeDocument/2006/relationships/image" Target="../media/image5.png"/><Relationship Id="rId10" Type="http://schemas.openxmlformats.org/officeDocument/2006/relationships/image" Target="../media/image9.png"/><Relationship Id="rId4" Type="http://schemas.openxmlformats.org/officeDocument/2006/relationships/image" Target="../media/image4.png"/><Relationship Id="rId9" Type="http://schemas.openxmlformats.org/officeDocument/2006/relationships/image" Target="../media/image8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1.png"/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19</xdr:row>
      <xdr:rowOff>0</xdr:rowOff>
    </xdr:from>
    <xdr:to>
      <xdr:col>12</xdr:col>
      <xdr:colOff>580767</xdr:colOff>
      <xdr:row>23</xdr:row>
      <xdr:rowOff>300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E8DDFEE3-6293-4CAB-9BAD-789AE086C5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96025" y="2895600"/>
          <a:ext cx="3428742" cy="648000"/>
        </a:xfrm>
        <a:prstGeom prst="rect">
          <a:avLst/>
        </a:prstGeom>
      </xdr:spPr>
    </xdr:pic>
    <xdr:clientData/>
  </xdr:twoCellAnchor>
  <xdr:twoCellAnchor editAs="absolute">
    <xdr:from>
      <xdr:col>14</xdr:col>
      <xdr:colOff>114300</xdr:colOff>
      <xdr:row>1</xdr:row>
      <xdr:rowOff>1</xdr:rowOff>
    </xdr:from>
    <xdr:to>
      <xdr:col>25</xdr:col>
      <xdr:colOff>572550</xdr:colOff>
      <xdr:row>25</xdr:row>
      <xdr:rowOff>50354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57317BE-B151-4BB4-9AA9-233CC02C6E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67925" y="257176"/>
          <a:ext cx="6840000" cy="3879403"/>
        </a:xfrm>
        <a:prstGeom prst="rect">
          <a:avLst/>
        </a:prstGeom>
      </xdr:spPr>
    </xdr:pic>
    <xdr:clientData/>
  </xdr:twoCellAnchor>
  <xdr:twoCellAnchor editAs="absolute">
    <xdr:from>
      <xdr:col>27</xdr:col>
      <xdr:colOff>95251</xdr:colOff>
      <xdr:row>1</xdr:row>
      <xdr:rowOff>0</xdr:rowOff>
    </xdr:from>
    <xdr:to>
      <xdr:col>37</xdr:col>
      <xdr:colOff>73078</xdr:colOff>
      <xdr:row>35</xdr:row>
      <xdr:rowOff>90375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0A39E9F-BDC7-8537-728E-BAB4F576CF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7345026" y="257175"/>
          <a:ext cx="5730927" cy="5472000"/>
        </a:xfrm>
        <a:prstGeom prst="rect">
          <a:avLst/>
        </a:prstGeom>
      </xdr:spPr>
    </xdr:pic>
    <xdr:clientData/>
  </xdr:twoCellAnchor>
  <xdr:twoCellAnchor editAs="absolute">
    <xdr:from>
      <xdr:col>14</xdr:col>
      <xdr:colOff>114300</xdr:colOff>
      <xdr:row>26</xdr:row>
      <xdr:rowOff>0</xdr:rowOff>
    </xdr:from>
    <xdr:to>
      <xdr:col>25</xdr:col>
      <xdr:colOff>572550</xdr:colOff>
      <xdr:row>60</xdr:row>
      <xdr:rowOff>152249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6C3EF88E-9A41-4B62-9D6E-2F6A6E6D17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39350" y="4248150"/>
          <a:ext cx="6840000" cy="2762099"/>
        </a:xfrm>
        <a:prstGeom prst="rect">
          <a:avLst/>
        </a:prstGeom>
      </xdr:spPr>
    </xdr:pic>
    <xdr:clientData/>
  </xdr:twoCellAnchor>
  <xdr:twoCellAnchor editAs="absolute">
    <xdr:from>
      <xdr:col>14</xdr:col>
      <xdr:colOff>114300</xdr:colOff>
      <xdr:row>61</xdr:row>
      <xdr:rowOff>0</xdr:rowOff>
    </xdr:from>
    <xdr:to>
      <xdr:col>25</xdr:col>
      <xdr:colOff>608550</xdr:colOff>
      <xdr:row>98</xdr:row>
      <xdr:rowOff>33253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8BDCABBB-80BD-44A8-878E-ED45468C32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039350" y="7019925"/>
          <a:ext cx="6876000" cy="6043528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37</xdr:row>
      <xdr:rowOff>0</xdr:rowOff>
    </xdr:from>
    <xdr:to>
      <xdr:col>12</xdr:col>
      <xdr:colOff>0</xdr:colOff>
      <xdr:row>53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3793F0C-6022-481A-9B1C-08E813B087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absolute">
    <xdr:from>
      <xdr:col>27</xdr:col>
      <xdr:colOff>95250</xdr:colOff>
      <xdr:row>36</xdr:row>
      <xdr:rowOff>0</xdr:rowOff>
    </xdr:from>
    <xdr:to>
      <xdr:col>37</xdr:col>
      <xdr:colOff>102150</xdr:colOff>
      <xdr:row>113</xdr:row>
      <xdr:rowOff>71042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451FE59-21BD-44AC-9B0C-F3093BD9C3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145000" y="5800725"/>
          <a:ext cx="5760000" cy="9729392"/>
        </a:xfrm>
        <a:prstGeom prst="rect">
          <a:avLst/>
        </a:prstGeom>
      </xdr:spPr>
    </xdr:pic>
    <xdr:clientData/>
  </xdr:twoCellAnchor>
  <xdr:twoCellAnchor editAs="absolute">
    <xdr:from>
      <xdr:col>27</xdr:col>
      <xdr:colOff>95250</xdr:colOff>
      <xdr:row>114</xdr:row>
      <xdr:rowOff>0</xdr:rowOff>
    </xdr:from>
    <xdr:to>
      <xdr:col>37</xdr:col>
      <xdr:colOff>102150</xdr:colOff>
      <xdr:row>132</xdr:row>
      <xdr:rowOff>102493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B9223E2-055A-4B01-8B64-5FE88D2F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7145000" y="15621000"/>
          <a:ext cx="5760000" cy="3017143"/>
        </a:xfrm>
        <a:prstGeom prst="rect">
          <a:avLst/>
        </a:prstGeom>
      </xdr:spPr>
    </xdr:pic>
    <xdr:clientData/>
  </xdr:twoCellAnchor>
  <xdr:twoCellAnchor editAs="absolute">
    <xdr:from>
      <xdr:col>27</xdr:col>
      <xdr:colOff>95250</xdr:colOff>
      <xdr:row>133</xdr:row>
      <xdr:rowOff>0</xdr:rowOff>
    </xdr:from>
    <xdr:to>
      <xdr:col>37</xdr:col>
      <xdr:colOff>102150</xdr:colOff>
      <xdr:row>153</xdr:row>
      <xdr:rowOff>70677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358DD3EB-813A-4AB4-9A62-6659AC4EB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7145000" y="18697575"/>
          <a:ext cx="5760000" cy="3309177"/>
        </a:xfrm>
        <a:prstGeom prst="rect">
          <a:avLst/>
        </a:prstGeom>
      </xdr:spPr>
    </xdr:pic>
    <xdr:clientData/>
  </xdr:twoCellAnchor>
  <xdr:twoCellAnchor editAs="absolute">
    <xdr:from>
      <xdr:col>14</xdr:col>
      <xdr:colOff>114300</xdr:colOff>
      <xdr:row>98</xdr:row>
      <xdr:rowOff>0</xdr:rowOff>
    </xdr:from>
    <xdr:to>
      <xdr:col>25</xdr:col>
      <xdr:colOff>572550</xdr:colOff>
      <xdr:row>120</xdr:row>
      <xdr:rowOff>101530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B23526CE-349F-4FF7-92BB-661F4DD7D2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039350" y="13030200"/>
          <a:ext cx="6840000" cy="36638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609599</xdr:colOff>
      <xdr:row>4</xdr:row>
      <xdr:rowOff>161924</xdr:rowOff>
    </xdr:from>
    <xdr:to>
      <xdr:col>12</xdr:col>
      <xdr:colOff>40055</xdr:colOff>
      <xdr:row>59</xdr:row>
      <xdr:rowOff>148049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4751C18-8A20-4015-B446-9912DEDCF4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599" y="685799"/>
          <a:ext cx="6745656" cy="8892000"/>
        </a:xfrm>
        <a:prstGeom prst="rect">
          <a:avLst/>
        </a:prstGeom>
      </xdr:spPr>
    </xdr:pic>
    <xdr:clientData/>
  </xdr:twoCellAnchor>
  <xdr:twoCellAnchor editAs="oneCell">
    <xdr:from>
      <xdr:col>1</xdr:col>
      <xdr:colOff>1</xdr:colOff>
      <xdr:row>59</xdr:row>
      <xdr:rowOff>161924</xdr:rowOff>
    </xdr:from>
    <xdr:to>
      <xdr:col>12</xdr:col>
      <xdr:colOff>26401</xdr:colOff>
      <xdr:row>70</xdr:row>
      <xdr:rowOff>131979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C8D05FFF-A3E1-4FC6-B9FC-70D83DD261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1" y="9591674"/>
          <a:ext cx="6732000" cy="1751230"/>
        </a:xfrm>
        <a:prstGeom prst="rect">
          <a:avLst/>
        </a:prstGeom>
      </xdr:spPr>
    </xdr:pic>
    <xdr:clientData/>
  </xdr:twoCellAnchor>
  <xdr:twoCellAnchor>
    <xdr:from>
      <xdr:col>17</xdr:col>
      <xdr:colOff>609599</xdr:colOff>
      <xdr:row>6</xdr:row>
      <xdr:rowOff>0</xdr:rowOff>
    </xdr:from>
    <xdr:to>
      <xdr:col>25</xdr:col>
      <xdr:colOff>600074</xdr:colOff>
      <xdr:row>22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59B9040-529B-88CE-B4A3-B01C736E44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RicardoE&amp;E">
      <a:dk1>
        <a:srgbClr val="000000"/>
      </a:dk1>
      <a:lt1>
        <a:srgbClr val="FFFFFF"/>
      </a:lt1>
      <a:dk2>
        <a:srgbClr val="4D4D4F"/>
      </a:dk2>
      <a:lt2>
        <a:srgbClr val="A7A9AC"/>
      </a:lt2>
      <a:accent1>
        <a:srgbClr val="E47E00"/>
      </a:accent1>
      <a:accent2>
        <a:srgbClr val="FAE600"/>
      </a:accent2>
      <a:accent3>
        <a:srgbClr val="99CA3C"/>
      </a:accent3>
      <a:accent4>
        <a:srgbClr val="006BB7"/>
      </a:accent4>
      <a:accent5>
        <a:srgbClr val="92499E"/>
      </a:accent5>
      <a:accent6>
        <a:srgbClr val="DC241F"/>
      </a:accent6>
      <a:hlink>
        <a:srgbClr val="3333FF"/>
      </a:hlink>
      <a:folHlink>
        <a:srgbClr val="7030A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acea.auto/fact/differences-between-diesel-and-petrol/" TargetMode="External"/><Relationship Id="rId1" Type="http://schemas.openxmlformats.org/officeDocument/2006/relationships/hyperlink" Target="https://eur-lex.europa.eu/eli/reg/2023/443/oj/eng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eur-lex.europa.eu/eli/reg/2023/443/oj/eng" TargetMode="External"/><Relationship Id="rId1" Type="http://schemas.openxmlformats.org/officeDocument/2006/relationships/hyperlink" Target="https://ec.europa.eu/transparency/comitology-register/screen/documents/082562/1/consult?lang=e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F6F3B-F7EA-40E6-8F2A-0AD04E83A276}">
  <sheetPr>
    <tabColor theme="4"/>
    <outlinePr summaryBelow="0" summaryRight="0"/>
  </sheetPr>
  <dimension ref="A1:AL89"/>
  <sheetViews>
    <sheetView tabSelected="1"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C69" sqref="C69"/>
    </sheetView>
  </sheetViews>
  <sheetFormatPr defaultRowHeight="12.75" outlineLevelRow="1" x14ac:dyDescent="0.2"/>
  <cols>
    <col min="1" max="1" width="6.5703125" customWidth="1"/>
    <col min="2" max="2" width="33.140625" bestFit="1" customWidth="1"/>
    <col min="4" max="4" width="9.7109375" bestFit="1" customWidth="1"/>
    <col min="6" max="6" width="7.5703125" bestFit="1" customWidth="1"/>
    <col min="7" max="7" width="8" bestFit="1" customWidth="1"/>
    <col min="8" max="8" width="11.140625" bestFit="1" customWidth="1"/>
    <col min="9" max="9" width="8" bestFit="1" customWidth="1"/>
    <col min="10" max="10" width="8.85546875" bestFit="1" customWidth="1"/>
    <col min="11" max="11" width="11" customWidth="1"/>
    <col min="12" max="12" width="14.85546875" bestFit="1" customWidth="1"/>
    <col min="13" max="13" width="9" customWidth="1"/>
    <col min="14" max="14" width="2.7109375" customWidth="1"/>
    <col min="15" max="15" width="4.28515625" style="45" customWidth="1"/>
    <col min="27" max="27" width="2" customWidth="1"/>
    <col min="28" max="28" width="4" style="45" customWidth="1"/>
    <col min="38" max="38" width="3.7109375" customWidth="1"/>
  </cols>
  <sheetData>
    <row r="1" spans="1:38" ht="20.25" x14ac:dyDescent="0.3">
      <c r="A1" s="36" t="s">
        <v>67</v>
      </c>
      <c r="H1" s="22" t="s">
        <v>85</v>
      </c>
      <c r="I1" s="37" t="s">
        <v>81</v>
      </c>
      <c r="J1" s="1" t="s">
        <v>84</v>
      </c>
      <c r="P1" s="42" t="s">
        <v>87</v>
      </c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C1" s="41" t="s">
        <v>88</v>
      </c>
      <c r="AD1" s="43"/>
      <c r="AE1" s="43"/>
      <c r="AF1" s="43"/>
      <c r="AG1" s="43"/>
      <c r="AH1" s="43"/>
      <c r="AI1" s="43"/>
      <c r="AJ1" s="43"/>
      <c r="AK1" s="43"/>
      <c r="AL1" s="43"/>
    </row>
    <row r="2" spans="1:38" x14ac:dyDescent="0.2">
      <c r="C2" s="2" t="s">
        <v>111</v>
      </c>
      <c r="I2" s="38" t="s">
        <v>82</v>
      </c>
      <c r="J2" s="21" t="s">
        <v>80</v>
      </c>
    </row>
    <row r="3" spans="1:38" x14ac:dyDescent="0.2">
      <c r="B3" s="22" t="s">
        <v>68</v>
      </c>
      <c r="C3" s="21">
        <v>2025</v>
      </c>
      <c r="I3" s="3" t="s">
        <v>83</v>
      </c>
    </row>
    <row r="4" spans="1:38" s="10" customFormat="1" ht="6.75" x14ac:dyDescent="0.15">
      <c r="O4" s="46"/>
      <c r="AB4" s="46"/>
    </row>
    <row r="5" spans="1:38" s="16" customFormat="1" ht="15.75" x14ac:dyDescent="0.25">
      <c r="A5" s="51" t="s">
        <v>46</v>
      </c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O5" s="47"/>
      <c r="AB5" s="47"/>
    </row>
    <row r="6" spans="1:38" s="10" customFormat="1" ht="6.75" x14ac:dyDescent="0.15">
      <c r="A6" s="53"/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O6" s="46"/>
      <c r="AB6" s="46"/>
    </row>
    <row r="7" spans="1:38" s="39" customFormat="1" ht="15" x14ac:dyDescent="0.25">
      <c r="A7" s="42" t="s">
        <v>95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O7" s="48"/>
      <c r="AB7" s="48"/>
    </row>
    <row r="8" spans="1:38" x14ac:dyDescent="0.2">
      <c r="A8" s="1"/>
      <c r="B8" s="2" t="s">
        <v>12</v>
      </c>
      <c r="C8" s="2" t="s">
        <v>11</v>
      </c>
      <c r="D8" s="2" t="s">
        <v>86</v>
      </c>
      <c r="E8" s="2" t="s">
        <v>60</v>
      </c>
      <c r="G8" s="2" t="s">
        <v>61</v>
      </c>
      <c r="J8" s="2" t="s">
        <v>64</v>
      </c>
    </row>
    <row r="9" spans="1:38" x14ac:dyDescent="0.2">
      <c r="A9" s="1" t="s">
        <v>72</v>
      </c>
      <c r="B9" t="s">
        <v>42</v>
      </c>
      <c r="C9" s="23">
        <f>n_EEC_Certification_CD*n_MJ_per_kWh/1000</f>
        <v>0.54</v>
      </c>
      <c r="D9" t="s">
        <v>0</v>
      </c>
      <c r="E9" t="s">
        <v>1</v>
      </c>
      <c r="G9" s="30">
        <v>150</v>
      </c>
      <c r="H9" t="s">
        <v>56</v>
      </c>
      <c r="J9" s="1">
        <v>3.6</v>
      </c>
      <c r="K9" t="s">
        <v>43</v>
      </c>
    </row>
    <row r="10" spans="1:38" x14ac:dyDescent="0.2">
      <c r="A10" s="1" t="s">
        <v>72</v>
      </c>
      <c r="B10" t="s">
        <v>17</v>
      </c>
      <c r="C10" s="26">
        <f>n_FEC_Certification_CD*n_Fuel_MJ_per_litre/100</f>
        <v>0.26960000000000006</v>
      </c>
      <c r="D10" t="s">
        <v>0</v>
      </c>
      <c r="E10" t="s">
        <v>2</v>
      </c>
      <c r="G10" s="64">
        <v>0.8</v>
      </c>
      <c r="H10" t="s">
        <v>15</v>
      </c>
      <c r="J10" s="33">
        <v>33.700000000000003</v>
      </c>
      <c r="K10" t="s">
        <v>58</v>
      </c>
      <c r="L10" s="18" t="s">
        <v>52</v>
      </c>
    </row>
    <row r="11" spans="1:38" x14ac:dyDescent="0.2">
      <c r="A11" s="1" t="s">
        <v>73</v>
      </c>
      <c r="B11" t="s">
        <v>16</v>
      </c>
      <c r="C11" s="26">
        <f>n_FEC_Certification_CS*n_Fuel_MJ_per_litre/100</f>
        <v>1.8535000000000001</v>
      </c>
      <c r="D11" t="s">
        <v>0</v>
      </c>
      <c r="E11" t="s">
        <v>3</v>
      </c>
      <c r="G11" s="64">
        <v>5.5</v>
      </c>
      <c r="H11" t="s">
        <v>15</v>
      </c>
    </row>
    <row r="12" spans="1:38" x14ac:dyDescent="0.2">
      <c r="A12" s="1"/>
    </row>
    <row r="13" spans="1:38" x14ac:dyDescent="0.2">
      <c r="A13" s="1" t="s">
        <v>72</v>
      </c>
      <c r="B13" t="s">
        <v>4</v>
      </c>
      <c r="C13" s="1">
        <v>1.25</v>
      </c>
      <c r="D13" t="s">
        <v>13</v>
      </c>
      <c r="E13" s="22" t="s">
        <v>61</v>
      </c>
    </row>
    <row r="14" spans="1:38" x14ac:dyDescent="0.2">
      <c r="A14" s="1" t="s">
        <v>72</v>
      </c>
      <c r="B14" t="s">
        <v>5</v>
      </c>
      <c r="C14" s="24">
        <v>1.2</v>
      </c>
      <c r="D14" t="s">
        <v>13</v>
      </c>
      <c r="E14" s="22" t="s">
        <v>61</v>
      </c>
    </row>
    <row r="15" spans="1:38" x14ac:dyDescent="0.2">
      <c r="A15" s="1" t="s">
        <v>73</v>
      </c>
      <c r="B15" t="s">
        <v>6</v>
      </c>
      <c r="C15" s="24">
        <v>1.2</v>
      </c>
      <c r="D15" t="s">
        <v>13</v>
      </c>
      <c r="E15" s="22" t="s">
        <v>61</v>
      </c>
    </row>
    <row r="16" spans="1:38" x14ac:dyDescent="0.2">
      <c r="A16" s="1"/>
    </row>
    <row r="17" spans="1:28" x14ac:dyDescent="0.2">
      <c r="A17" s="1" t="s">
        <v>72</v>
      </c>
      <c r="B17" t="s">
        <v>7</v>
      </c>
      <c r="C17" s="24">
        <v>1</v>
      </c>
      <c r="D17" t="s">
        <v>13</v>
      </c>
      <c r="E17" s="22" t="s">
        <v>110</v>
      </c>
    </row>
    <row r="18" spans="1:28" x14ac:dyDescent="0.2">
      <c r="A18" s="1" t="s">
        <v>72</v>
      </c>
      <c r="B18" t="s">
        <v>8</v>
      </c>
      <c r="C18" s="24">
        <v>1</v>
      </c>
      <c r="D18" t="s">
        <v>13</v>
      </c>
      <c r="E18" s="22" t="s">
        <v>110</v>
      </c>
    </row>
    <row r="19" spans="1:28" x14ac:dyDescent="0.2">
      <c r="A19" s="1" t="s">
        <v>73</v>
      </c>
      <c r="B19" t="s">
        <v>9</v>
      </c>
      <c r="C19" s="24">
        <v>1</v>
      </c>
      <c r="D19" t="s">
        <v>13</v>
      </c>
      <c r="E19" s="22" t="s">
        <v>110</v>
      </c>
    </row>
    <row r="20" spans="1:28" x14ac:dyDescent="0.2">
      <c r="A20" s="1"/>
    </row>
    <row r="21" spans="1:28" x14ac:dyDescent="0.2">
      <c r="A21" s="1" t="s">
        <v>72</v>
      </c>
      <c r="B21" t="s">
        <v>23</v>
      </c>
      <c r="C21" s="27">
        <v>58</v>
      </c>
      <c r="D21" t="s">
        <v>14</v>
      </c>
      <c r="E21" s="22" t="s">
        <v>94</v>
      </c>
    </row>
    <row r="22" spans="1:28" x14ac:dyDescent="0.2">
      <c r="A22" s="1" t="s">
        <v>72</v>
      </c>
      <c r="B22" t="s">
        <v>21</v>
      </c>
      <c r="C22" s="23" cm="1">
        <f t="array" ref="C22">IF($C$3=$B$33,(1-EXP(-SUMPRODUCT($D$33:$M$33,(n_Range_certification_CD/$C$33)^(COLUMN($D$31:$M$31)-COLUMN($C$31))))-0),
 IF($C$3=$B$34,(1-EXP(-SUMPRODUCT($D$34:$M$34,(n_Range_certification_CD/$C$34)^(COLUMN($D$31:$M$31)-COLUMN($C$31))))-0),
               (1-EXP(-SUMPRODUCT($D$32:$M$32,(n_Range_certification_CD/$C$32)^(COLUMN($D$31:$M$31)-COLUMN($C$31))))-0)))</f>
        <v>0.48107645381602071</v>
      </c>
      <c r="D22" t="s">
        <v>13</v>
      </c>
      <c r="E22" t="s">
        <v>77</v>
      </c>
    </row>
    <row r="23" spans="1:28" x14ac:dyDescent="0.2">
      <c r="A23" s="1"/>
    </row>
    <row r="24" spans="1:28" s="39" customFormat="1" ht="15" x14ac:dyDescent="0.25">
      <c r="A24" s="41" t="s">
        <v>98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O24" s="48"/>
      <c r="AB24" s="48"/>
    </row>
    <row r="25" spans="1:28" x14ac:dyDescent="0.2">
      <c r="A25" s="1"/>
      <c r="B25" t="s">
        <v>89</v>
      </c>
      <c r="C25" s="27">
        <v>55</v>
      </c>
      <c r="D25" t="s">
        <v>14</v>
      </c>
      <c r="E25" s="22" t="s">
        <v>93</v>
      </c>
    </row>
    <row r="26" spans="1:28" x14ac:dyDescent="0.2">
      <c r="A26" s="1"/>
      <c r="B26" t="s">
        <v>90</v>
      </c>
      <c r="C26" s="27">
        <v>12</v>
      </c>
      <c r="D26" t="s">
        <v>92</v>
      </c>
      <c r="E26" s="22" t="s">
        <v>61</v>
      </c>
    </row>
    <row r="27" spans="1:28" x14ac:dyDescent="0.2">
      <c r="A27" s="1"/>
      <c r="B27" t="s">
        <v>100</v>
      </c>
      <c r="C27" s="40">
        <v>0.85</v>
      </c>
      <c r="D27" t="s">
        <v>13</v>
      </c>
      <c r="E27" s="22" t="s">
        <v>101</v>
      </c>
    </row>
    <row r="28" spans="1:28" ht="13.5" thickBot="1" x14ac:dyDescent="0.25"/>
    <row r="29" spans="1:28" s="10" customFormat="1" ht="6.75" x14ac:dyDescent="0.15">
      <c r="A29" s="7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9"/>
      <c r="O29" s="46"/>
      <c r="AB29" s="46"/>
    </row>
    <row r="30" spans="1:28" x14ac:dyDescent="0.2">
      <c r="A30" s="4"/>
      <c r="B30" s="15" t="s">
        <v>24</v>
      </c>
      <c r="C30" s="5" t="s">
        <v>51</v>
      </c>
      <c r="D30" s="5"/>
      <c r="E30" s="5"/>
      <c r="F30" s="5"/>
      <c r="G30" s="5"/>
      <c r="H30" s="5"/>
      <c r="I30" s="5"/>
      <c r="J30" s="5"/>
      <c r="K30" s="5"/>
      <c r="L30" s="5"/>
      <c r="M30" s="5"/>
      <c r="N30" s="6"/>
    </row>
    <row r="31" spans="1:28" x14ac:dyDescent="0.2">
      <c r="A31" s="4"/>
      <c r="B31" s="19"/>
      <c r="C31" s="19" t="s">
        <v>29</v>
      </c>
      <c r="D31" s="19" t="s">
        <v>30</v>
      </c>
      <c r="E31" s="19" t="s">
        <v>31</v>
      </c>
      <c r="F31" s="19" t="s">
        <v>32</v>
      </c>
      <c r="G31" s="19" t="s">
        <v>33</v>
      </c>
      <c r="H31" s="19" t="s">
        <v>34</v>
      </c>
      <c r="I31" s="19" t="s">
        <v>35</v>
      </c>
      <c r="J31" s="19" t="s">
        <v>36</v>
      </c>
      <c r="K31" s="19" t="s">
        <v>37</v>
      </c>
      <c r="L31" s="19" t="s">
        <v>38</v>
      </c>
      <c r="M31" s="19" t="s">
        <v>39</v>
      </c>
      <c r="N31" s="6"/>
    </row>
    <row r="32" spans="1:28" x14ac:dyDescent="0.2">
      <c r="A32" s="4"/>
      <c r="B32" s="20" t="s">
        <v>40</v>
      </c>
      <c r="C32" s="1">
        <v>800</v>
      </c>
      <c r="D32" s="1">
        <v>26.25</v>
      </c>
      <c r="E32" s="1">
        <v>-38.94</v>
      </c>
      <c r="F32" s="1">
        <v>-631.04999999999995</v>
      </c>
      <c r="G32" s="1">
        <v>5964.83</v>
      </c>
      <c r="H32" s="1">
        <v>-25095</v>
      </c>
      <c r="I32" s="1">
        <v>60380.2</v>
      </c>
      <c r="J32" s="1">
        <v>-87517</v>
      </c>
      <c r="K32" s="1">
        <v>75513.8</v>
      </c>
      <c r="L32" s="1">
        <v>-35749</v>
      </c>
      <c r="M32" s="1">
        <v>7154.94</v>
      </c>
      <c r="N32" s="6"/>
    </row>
    <row r="33" spans="1:14" x14ac:dyDescent="0.2">
      <c r="A33" s="4"/>
      <c r="B33" s="20">
        <v>2025</v>
      </c>
      <c r="C33" s="1">
        <v>2200</v>
      </c>
      <c r="D33" s="1">
        <v>26.25</v>
      </c>
      <c r="E33" s="1">
        <v>-38.94</v>
      </c>
      <c r="F33" s="1">
        <v>-631.04999999999995</v>
      </c>
      <c r="G33" s="1">
        <v>5964.83</v>
      </c>
      <c r="H33" s="1">
        <v>-25095</v>
      </c>
      <c r="I33" s="1">
        <v>60380.2</v>
      </c>
      <c r="J33" s="1">
        <v>-87517</v>
      </c>
      <c r="K33" s="1">
        <v>75513.8</v>
      </c>
      <c r="L33" s="1">
        <v>-35749</v>
      </c>
      <c r="M33" s="1">
        <v>7154.94</v>
      </c>
      <c r="N33" s="6"/>
    </row>
    <row r="34" spans="1:14" x14ac:dyDescent="0.2">
      <c r="A34" s="4"/>
      <c r="B34" s="20">
        <v>2027</v>
      </c>
      <c r="C34" s="1">
        <v>4260</v>
      </c>
      <c r="D34" s="1">
        <v>26.25</v>
      </c>
      <c r="E34" s="1">
        <v>-38.94</v>
      </c>
      <c r="F34" s="1">
        <v>-631.04999999999995</v>
      </c>
      <c r="G34" s="1">
        <v>5964.83</v>
      </c>
      <c r="H34" s="1">
        <v>-25095</v>
      </c>
      <c r="I34" s="1">
        <v>60380.2</v>
      </c>
      <c r="J34" s="1">
        <v>-87517</v>
      </c>
      <c r="K34" s="1">
        <v>75513.8</v>
      </c>
      <c r="L34" s="1">
        <v>-35749</v>
      </c>
      <c r="M34" s="1">
        <v>7154.94</v>
      </c>
      <c r="N34" s="6"/>
    </row>
    <row r="35" spans="1:14" x14ac:dyDescent="0.2">
      <c r="A35" s="4"/>
      <c r="B35" s="14" t="s">
        <v>25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6"/>
    </row>
    <row r="36" spans="1:14" x14ac:dyDescent="0.2">
      <c r="A36" s="4"/>
      <c r="B36" s="18" t="s">
        <v>28</v>
      </c>
      <c r="C36" s="5" t="s">
        <v>41</v>
      </c>
      <c r="D36" s="5"/>
      <c r="E36" s="5"/>
      <c r="F36" s="5"/>
      <c r="H36" s="5"/>
      <c r="I36" s="5"/>
      <c r="J36" s="5"/>
      <c r="K36" s="5"/>
      <c r="L36" s="5"/>
      <c r="M36" s="5"/>
      <c r="N36" s="6"/>
    </row>
    <row r="37" spans="1:14" collapsed="1" x14ac:dyDescent="0.2">
      <c r="A37" s="4"/>
      <c r="B37" s="63" t="s">
        <v>109</v>
      </c>
      <c r="C37" s="5"/>
      <c r="D37" s="5"/>
      <c r="E37" s="5"/>
      <c r="F37" s="5"/>
      <c r="H37" s="5"/>
      <c r="I37" s="5"/>
      <c r="J37" s="5"/>
      <c r="K37" s="5"/>
      <c r="L37" s="5"/>
      <c r="M37" s="5"/>
      <c r="N37" s="6"/>
    </row>
    <row r="38" spans="1:14" hidden="1" outlineLevel="1" x14ac:dyDescent="0.2">
      <c r="A38" s="4"/>
      <c r="C38" s="5"/>
      <c r="D38" s="5"/>
      <c r="E38" s="5"/>
      <c r="F38" s="5"/>
      <c r="H38" s="5"/>
      <c r="I38" s="5"/>
      <c r="J38" s="5"/>
      <c r="K38" s="5"/>
      <c r="L38" s="5"/>
      <c r="M38" s="5"/>
      <c r="N38" s="6"/>
    </row>
    <row r="39" spans="1:14" hidden="1" outlineLevel="1" x14ac:dyDescent="0.2">
      <c r="A39" s="4"/>
      <c r="C39" s="5"/>
      <c r="D39" s="5"/>
      <c r="E39" s="5"/>
      <c r="F39" s="5"/>
      <c r="H39" s="5"/>
      <c r="I39" s="5"/>
      <c r="J39" s="5"/>
      <c r="K39" s="5"/>
      <c r="L39" s="5"/>
      <c r="M39" s="5"/>
      <c r="N39" s="6"/>
    </row>
    <row r="40" spans="1:14" hidden="1" outlineLevel="1" x14ac:dyDescent="0.2">
      <c r="A40" s="4"/>
      <c r="C40" s="5"/>
      <c r="D40" s="5"/>
      <c r="E40" s="5"/>
      <c r="F40" s="5"/>
      <c r="H40" s="5"/>
      <c r="I40" s="5"/>
      <c r="J40" s="5"/>
      <c r="K40" s="5"/>
      <c r="L40" s="5"/>
      <c r="M40" s="5"/>
      <c r="N40" s="6"/>
    </row>
    <row r="41" spans="1:14" hidden="1" outlineLevel="1" x14ac:dyDescent="0.2">
      <c r="A41" s="4"/>
      <c r="C41" s="5"/>
      <c r="D41" s="5"/>
      <c r="E41" s="5"/>
      <c r="F41" s="5"/>
      <c r="H41" s="5"/>
      <c r="I41" s="5"/>
      <c r="J41" s="5"/>
      <c r="K41" s="5"/>
      <c r="L41" s="5"/>
      <c r="M41" s="5"/>
      <c r="N41" s="6"/>
    </row>
    <row r="42" spans="1:14" hidden="1" outlineLevel="1" x14ac:dyDescent="0.2">
      <c r="A42" s="4"/>
      <c r="C42" s="5"/>
      <c r="D42" s="5"/>
      <c r="E42" s="5"/>
      <c r="F42" s="5"/>
      <c r="H42" s="5"/>
      <c r="I42" s="5"/>
      <c r="J42" s="5"/>
      <c r="K42" s="5"/>
      <c r="L42" s="5"/>
      <c r="M42" s="5"/>
      <c r="N42" s="6"/>
    </row>
    <row r="43" spans="1:14" hidden="1" outlineLevel="1" x14ac:dyDescent="0.2">
      <c r="A43" s="4"/>
      <c r="C43" s="5"/>
      <c r="D43" s="5"/>
      <c r="E43" s="5"/>
      <c r="F43" s="5"/>
      <c r="H43" s="5"/>
      <c r="I43" s="5"/>
      <c r="J43" s="5"/>
      <c r="K43" s="5"/>
      <c r="L43" s="5"/>
      <c r="M43" s="5"/>
      <c r="N43" s="6"/>
    </row>
    <row r="44" spans="1:14" hidden="1" outlineLevel="1" x14ac:dyDescent="0.2">
      <c r="A44" s="4"/>
      <c r="C44" s="5"/>
      <c r="D44" s="5"/>
      <c r="E44" s="5"/>
      <c r="F44" s="5"/>
      <c r="H44" s="5"/>
      <c r="I44" s="5"/>
      <c r="J44" s="5"/>
      <c r="K44" s="5"/>
      <c r="L44" s="5"/>
      <c r="M44" s="5"/>
      <c r="N44" s="6"/>
    </row>
    <row r="45" spans="1:14" hidden="1" outlineLevel="1" x14ac:dyDescent="0.2">
      <c r="A45" s="4"/>
      <c r="C45" s="5"/>
      <c r="D45" s="5"/>
      <c r="E45" s="5"/>
      <c r="F45" s="5"/>
      <c r="H45" s="5"/>
      <c r="I45" s="5"/>
      <c r="J45" s="5"/>
      <c r="K45" s="5"/>
      <c r="L45" s="5"/>
      <c r="M45" s="5"/>
      <c r="N45" s="6"/>
    </row>
    <row r="46" spans="1:14" hidden="1" outlineLevel="1" x14ac:dyDescent="0.2">
      <c r="A46" s="4"/>
      <c r="C46" s="5"/>
      <c r="D46" s="5"/>
      <c r="E46" s="5"/>
      <c r="F46" s="5"/>
      <c r="H46" s="5"/>
      <c r="I46" s="5"/>
      <c r="J46" s="5"/>
      <c r="K46" s="5"/>
      <c r="L46" s="5"/>
      <c r="M46" s="5"/>
      <c r="N46" s="6"/>
    </row>
    <row r="47" spans="1:14" hidden="1" outlineLevel="1" x14ac:dyDescent="0.2">
      <c r="A47" s="4"/>
      <c r="C47" s="5"/>
      <c r="D47" s="5"/>
      <c r="E47" s="5"/>
      <c r="F47" s="5"/>
      <c r="H47" s="5"/>
      <c r="I47" s="5"/>
      <c r="J47" s="5"/>
      <c r="K47" s="5"/>
      <c r="L47" s="5"/>
      <c r="M47" s="5"/>
      <c r="N47" s="6"/>
    </row>
    <row r="48" spans="1:14" hidden="1" outlineLevel="1" x14ac:dyDescent="0.2">
      <c r="A48" s="4"/>
      <c r="C48" s="5"/>
      <c r="D48" s="5"/>
      <c r="E48" s="5"/>
      <c r="F48" s="5"/>
      <c r="H48" s="5"/>
      <c r="I48" s="5"/>
      <c r="J48" s="5"/>
      <c r="K48" s="5"/>
      <c r="L48" s="5"/>
      <c r="M48" s="5"/>
      <c r="N48" s="6"/>
    </row>
    <row r="49" spans="1:28" hidden="1" outlineLevel="1" x14ac:dyDescent="0.2">
      <c r="A49" s="4"/>
      <c r="C49" s="5"/>
      <c r="D49" s="5"/>
      <c r="E49" s="5"/>
      <c r="F49" s="5"/>
      <c r="H49" s="5"/>
      <c r="I49" s="5"/>
      <c r="J49" s="5"/>
      <c r="K49" s="5"/>
      <c r="L49" s="5"/>
      <c r="M49" s="5"/>
      <c r="N49" s="6"/>
    </row>
    <row r="50" spans="1:28" hidden="1" outlineLevel="1" x14ac:dyDescent="0.2">
      <c r="A50" s="4"/>
      <c r="C50" s="5"/>
      <c r="D50" s="5"/>
      <c r="E50" s="5"/>
      <c r="F50" s="5"/>
      <c r="H50" s="5"/>
      <c r="I50" s="5"/>
      <c r="J50" s="5"/>
      <c r="K50" s="5"/>
      <c r="L50" s="5"/>
      <c r="M50" s="5"/>
      <c r="N50" s="6"/>
    </row>
    <row r="51" spans="1:28" hidden="1" outlineLevel="1" x14ac:dyDescent="0.2">
      <c r="A51" s="4"/>
      <c r="C51" s="5"/>
      <c r="D51" s="5"/>
      <c r="E51" s="5"/>
      <c r="F51" s="5"/>
      <c r="H51" s="5"/>
      <c r="I51" s="5"/>
      <c r="J51" s="5"/>
      <c r="K51" s="5"/>
      <c r="L51" s="5"/>
      <c r="M51" s="5"/>
      <c r="N51" s="6"/>
    </row>
    <row r="52" spans="1:28" hidden="1" outlineLevel="1" x14ac:dyDescent="0.2">
      <c r="A52" s="4"/>
      <c r="C52" s="5"/>
      <c r="D52" s="5"/>
      <c r="E52" s="5"/>
      <c r="F52" s="5"/>
      <c r="H52" s="5"/>
      <c r="I52" s="5"/>
      <c r="J52" s="5"/>
      <c r="K52" s="5"/>
      <c r="L52" s="5"/>
      <c r="M52" s="5"/>
      <c r="N52" s="6"/>
    </row>
    <row r="53" spans="1:28" hidden="1" outlineLevel="1" x14ac:dyDescent="0.2">
      <c r="A53" s="4"/>
      <c r="C53" s="5"/>
      <c r="D53" s="5"/>
      <c r="E53" s="5"/>
      <c r="F53" s="5"/>
      <c r="H53" s="5"/>
      <c r="I53" s="5"/>
      <c r="J53" s="5"/>
      <c r="K53" s="5"/>
      <c r="L53" s="5"/>
      <c r="M53" s="5"/>
      <c r="N53" s="6"/>
    </row>
    <row r="54" spans="1:28" hidden="1" outlineLevel="1" x14ac:dyDescent="0.2">
      <c r="A54" s="4"/>
      <c r="C54" s="5"/>
      <c r="D54" s="5"/>
      <c r="E54" s="5"/>
      <c r="F54" s="5"/>
      <c r="H54" s="5"/>
      <c r="I54" s="5"/>
      <c r="J54" s="5"/>
      <c r="K54" s="5"/>
      <c r="L54" s="5"/>
      <c r="M54" s="5"/>
      <c r="N54" s="6"/>
    </row>
    <row r="55" spans="1:28" s="10" customFormat="1" ht="7.5" thickBot="1" x14ac:dyDescent="0.2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3"/>
      <c r="O55" s="46"/>
      <c r="AB55" s="46"/>
    </row>
    <row r="57" spans="1:28" s="16" customFormat="1" ht="15.75" x14ac:dyDescent="0.25">
      <c r="A57" s="49" t="s">
        <v>78</v>
      </c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O57" s="47"/>
      <c r="AB57" s="47"/>
    </row>
    <row r="58" spans="1:28" s="10" customFormat="1" ht="6.75" x14ac:dyDescent="0.15">
      <c r="A58" s="55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O58" s="46"/>
      <c r="AB58" s="46"/>
    </row>
    <row r="59" spans="1:28" s="39" customFormat="1" ht="15" x14ac:dyDescent="0.25">
      <c r="A59" s="41" t="s">
        <v>97</v>
      </c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O59" s="48"/>
      <c r="AB59" s="48"/>
    </row>
    <row r="60" spans="1:28" x14ac:dyDescent="0.2">
      <c r="A60" s="3"/>
      <c r="B60" t="s">
        <v>99</v>
      </c>
      <c r="C60" s="28">
        <f>n_BatteryCapacity_start*n_BatterySoH_EoL</f>
        <v>10.199999999999999</v>
      </c>
      <c r="D60" t="s">
        <v>92</v>
      </c>
      <c r="E60" s="22"/>
    </row>
    <row r="61" spans="1:28" x14ac:dyDescent="0.2">
      <c r="A61" s="3"/>
      <c r="B61" t="s">
        <v>91</v>
      </c>
      <c r="C61" s="34">
        <f>AVERAGE(n_BatteryCapacity_start,n_BatteryCapacity_EoL)</f>
        <v>11.1</v>
      </c>
      <c r="D61" t="s">
        <v>92</v>
      </c>
      <c r="E61" s="22"/>
    </row>
    <row r="62" spans="1:28" x14ac:dyDescent="0.2">
      <c r="A62" s="3"/>
    </row>
    <row r="63" spans="1:28" s="39" customFormat="1" ht="15" x14ac:dyDescent="0.25">
      <c r="A63" s="42" t="s">
        <v>96</v>
      </c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O63" s="48"/>
      <c r="AB63" s="48"/>
    </row>
    <row r="64" spans="1:28" x14ac:dyDescent="0.2">
      <c r="A64" s="3"/>
      <c r="B64" s="2" t="s">
        <v>12</v>
      </c>
      <c r="C64" s="2" t="s">
        <v>11</v>
      </c>
      <c r="E64" s="2" t="s">
        <v>60</v>
      </c>
      <c r="G64" s="22"/>
      <c r="K64" t="s">
        <v>79</v>
      </c>
    </row>
    <row r="65" spans="1:28" x14ac:dyDescent="0.2">
      <c r="A65" s="3" t="s">
        <v>72</v>
      </c>
      <c r="B65" t="s">
        <v>71</v>
      </c>
      <c r="C65" s="23">
        <f>n_EEC_Certification_CD_MJperkm*n_f_discrepancy_electricity_CD*n_f_deterioration_electricity_CD</f>
        <v>0.67500000000000004</v>
      </c>
      <c r="D65" t="s">
        <v>0</v>
      </c>
      <c r="E65" t="s">
        <v>113</v>
      </c>
    </row>
    <row r="66" spans="1:28" x14ac:dyDescent="0.2">
      <c r="A66" s="3" t="s">
        <v>72</v>
      </c>
      <c r="B66" t="s">
        <v>70</v>
      </c>
      <c r="C66" s="26">
        <f>n_FEC_Certification_CD_MJperkm*n_f_discrepancy_fuel_CD*n_f_deterioration_fuel_CD</f>
        <v>0.32352000000000009</v>
      </c>
      <c r="D66" t="s">
        <v>0</v>
      </c>
      <c r="E66" t="s">
        <v>63</v>
      </c>
    </row>
    <row r="67" spans="1:28" x14ac:dyDescent="0.2">
      <c r="A67" s="3" t="s">
        <v>73</v>
      </c>
      <c r="B67" t="s">
        <v>10</v>
      </c>
      <c r="C67" s="29">
        <f>n_FEC_Certification_CS_MJperkm*n_f_discrepancy_fuel_CS*n_f_deterioration_fuel_CS</f>
        <v>2.2242000000000002</v>
      </c>
      <c r="D67" t="s">
        <v>0</v>
      </c>
      <c r="E67" t="s">
        <v>63</v>
      </c>
    </row>
    <row r="68" spans="1:28" x14ac:dyDescent="0.2">
      <c r="A68" s="3"/>
    </row>
    <row r="69" spans="1:28" x14ac:dyDescent="0.2">
      <c r="A69" s="3" t="s">
        <v>72</v>
      </c>
      <c r="B69" t="s">
        <v>22</v>
      </c>
      <c r="C69" s="28">
        <f>IFERROR( (n_Range_certification_CD * (n_EEC_Certification_CD_MJperkm/n_EEC_InUse_CD_MJperkm) * (n_BatteryCapacity_Average/n_BatteryCapacity_start)),0)</f>
        <v>42.92</v>
      </c>
      <c r="D69" t="s">
        <v>14</v>
      </c>
      <c r="E69" t="s">
        <v>112</v>
      </c>
    </row>
    <row r="70" spans="1:28" x14ac:dyDescent="0.2">
      <c r="A70" s="3" t="s">
        <v>72</v>
      </c>
      <c r="B70" t="s">
        <v>20</v>
      </c>
      <c r="C70" s="26" cm="1">
        <f t="array" ref="C70">IF($C$3=$B$33,(1-EXP(-SUMPRODUCT($D$33:$M$33,(n_Range_InUse_CD/$C$33)^(COLUMN($D$31:$M$31)-COLUMN($C$31))))-0),
 IF($C$3=$B$34,(1-EXP(-SUMPRODUCT($D$34:$M$34,(n_Range_InUse_CD/$C$34)^(COLUMN($D$31:$M$31)-COLUMN($C$31))))-0),
               (1-EXP(-SUMPRODUCT($D$32:$M$32,(n_Range_InUse_CD/$C$32)^(COLUMN($D$31:$M$31)-COLUMN($C$31))))-0)))</f>
        <v>0.38945517725044598</v>
      </c>
      <c r="D70" t="s">
        <v>13</v>
      </c>
      <c r="E70" t="s">
        <v>77</v>
      </c>
    </row>
    <row r="71" spans="1:28" x14ac:dyDescent="0.2">
      <c r="A71" s="3"/>
    </row>
    <row r="72" spans="1:28" x14ac:dyDescent="0.2">
      <c r="A72" s="3"/>
      <c r="B72" t="s">
        <v>19</v>
      </c>
      <c r="C72" s="23">
        <f>n_FEC_InUse_CD_MJperkm*n_UF_InUse_CD+n_FEC_InUse_CS_MJperkm*(1-n_UF_InUse_CD)</f>
        <v>1.4839703337036225</v>
      </c>
      <c r="D72" t="s">
        <v>0</v>
      </c>
      <c r="E72" t="s">
        <v>63</v>
      </c>
      <c r="G72" s="25">
        <f>n_FEC_InUse/n_Fuel_MJ_per_litre*100</f>
        <v>4.403472800307485</v>
      </c>
      <c r="H72" t="s">
        <v>15</v>
      </c>
      <c r="I72" s="22" t="s">
        <v>62</v>
      </c>
    </row>
    <row r="73" spans="1:28" x14ac:dyDescent="0.2">
      <c r="A73" s="3"/>
      <c r="B73" t="s">
        <v>18</v>
      </c>
      <c r="C73" s="26">
        <f>n_EEC_InUse_CD_MJperkm*n_UF_InUse_CD</f>
        <v>0.26288224464405108</v>
      </c>
      <c r="D73" t="s">
        <v>0</v>
      </c>
      <c r="E73" t="s">
        <v>63</v>
      </c>
      <c r="G73" s="35">
        <f>n_EEC_InUse/n_MJ_per_kWh*1000</f>
        <v>73.022845734458642</v>
      </c>
      <c r="H73" t="s">
        <v>56</v>
      </c>
      <c r="I73" s="22" t="s">
        <v>62</v>
      </c>
    </row>
    <row r="76" spans="1:28" ht="15.75" x14ac:dyDescent="0.25">
      <c r="A76" s="59" t="s">
        <v>69</v>
      </c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</row>
    <row r="77" spans="1:28" s="56" customFormat="1" ht="15" x14ac:dyDescent="0.25">
      <c r="A77" s="58" t="s">
        <v>103</v>
      </c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O77" s="57"/>
      <c r="AB77" s="57"/>
    </row>
    <row r="78" spans="1:28" s="10" customFormat="1" ht="6.75" x14ac:dyDescent="0.15">
      <c r="A78" s="61"/>
      <c r="O78" s="46"/>
      <c r="AB78" s="46"/>
    </row>
    <row r="79" spans="1:28" x14ac:dyDescent="0.2">
      <c r="A79" s="60"/>
      <c r="B79" s="2" t="s">
        <v>66</v>
      </c>
    </row>
    <row r="80" spans="1:28" x14ac:dyDescent="0.2">
      <c r="A80" s="60"/>
      <c r="B80" t="s">
        <v>44</v>
      </c>
      <c r="C80" s="23">
        <f>n_FEC_Certification_CD_MJperkm*n_UF_certification_CD+n_FEC_Certification_CS_MJperkm*(1-n_UF_certification_CD)</f>
        <v>1.0915230048008049</v>
      </c>
      <c r="D80" t="s">
        <v>0</v>
      </c>
      <c r="F80" s="31"/>
      <c r="G80" s="25">
        <f>n_FEC_Certification_CD*n_UF_certification_CD+n_FEC_Certification_CS*(1-n_UF_certification_CD)</f>
        <v>3.2389406670647025</v>
      </c>
      <c r="H80" t="s">
        <v>15</v>
      </c>
    </row>
    <row r="81" spans="1:12" x14ac:dyDescent="0.2">
      <c r="A81" s="60"/>
      <c r="B81" t="s">
        <v>45</v>
      </c>
      <c r="C81" s="26">
        <f>n_EEC_Certification_CD_MJperkm*n_UF_certification_CD</f>
        <v>0.25978128506065118</v>
      </c>
      <c r="D81" t="s">
        <v>0</v>
      </c>
      <c r="G81" s="35">
        <f>n_EEC_Certification/n_MJ_per_kWh*1000</f>
        <v>72.16146807240311</v>
      </c>
      <c r="H81" t="s">
        <v>56</v>
      </c>
    </row>
    <row r="82" spans="1:12" x14ac:dyDescent="0.2">
      <c r="A82" s="60"/>
      <c r="B82" t="s">
        <v>55</v>
      </c>
      <c r="C82" s="32">
        <f>n_FEC_Certification/n_Fuel_MJ_per_litre*n_Gasoline_TailpipeCO2</f>
        <v>74.495635342488157</v>
      </c>
      <c r="D82" t="s">
        <v>54</v>
      </c>
      <c r="E82" s="22" t="s">
        <v>62</v>
      </c>
      <c r="G82" s="1">
        <v>2300</v>
      </c>
      <c r="H82" t="s">
        <v>53</v>
      </c>
      <c r="I82" s="22" t="s">
        <v>61</v>
      </c>
    </row>
    <row r="83" spans="1:12" x14ac:dyDescent="0.2">
      <c r="A83" s="60"/>
    </row>
    <row r="84" spans="1:12" x14ac:dyDescent="0.2">
      <c r="A84" s="60"/>
      <c r="B84" s="2" t="s">
        <v>65</v>
      </c>
    </row>
    <row r="85" spans="1:12" x14ac:dyDescent="0.2">
      <c r="A85" s="60"/>
      <c r="B85" t="s">
        <v>57</v>
      </c>
      <c r="C85" s="32">
        <f>n_FEC_InUse/n_Fuel_MJ_per_litre*n_Gasoline_TailpipeCO2</f>
        <v>101.27987440707216</v>
      </c>
      <c r="D85" t="s">
        <v>54</v>
      </c>
      <c r="E85" s="22" t="s">
        <v>62</v>
      </c>
    </row>
    <row r="86" spans="1:12" x14ac:dyDescent="0.2">
      <c r="A86" s="60"/>
      <c r="B86" t="s">
        <v>74</v>
      </c>
      <c r="C86" s="28">
        <f>n_FEC_InUse*G86</f>
        <v>130.58938936591878</v>
      </c>
      <c r="D86" t="s">
        <v>59</v>
      </c>
      <c r="E86" s="22" t="s">
        <v>62</v>
      </c>
      <c r="F86" t="s">
        <v>48</v>
      </c>
      <c r="G86" s="27">
        <v>88</v>
      </c>
      <c r="H86" t="s">
        <v>49</v>
      </c>
      <c r="I86" s="22" t="s">
        <v>102</v>
      </c>
    </row>
    <row r="87" spans="1:12" x14ac:dyDescent="0.2">
      <c r="A87" s="60"/>
      <c r="B87" t="s">
        <v>75</v>
      </c>
      <c r="C87" s="34">
        <f>n_EEC_InUse*G87</f>
        <v>10.953426860168793</v>
      </c>
      <c r="D87" t="s">
        <v>59</v>
      </c>
      <c r="E87" s="22" t="s">
        <v>62</v>
      </c>
      <c r="F87" t="s">
        <v>47</v>
      </c>
      <c r="G87" s="28">
        <f>J87/n_MJ_per_kWh</f>
        <v>41.666666666666664</v>
      </c>
      <c r="H87" t="s">
        <v>49</v>
      </c>
      <c r="I87" s="22"/>
      <c r="J87" s="30">
        <v>150</v>
      </c>
      <c r="K87" t="s">
        <v>50</v>
      </c>
      <c r="L87" s="22" t="s">
        <v>102</v>
      </c>
    </row>
    <row r="88" spans="1:12" x14ac:dyDescent="0.2">
      <c r="A88" s="60"/>
      <c r="B88" s="22" t="s">
        <v>76</v>
      </c>
    </row>
    <row r="89" spans="1:12" x14ac:dyDescent="0.2">
      <c r="A89" s="60"/>
    </row>
  </sheetData>
  <dataValidations count="1">
    <dataValidation type="list" allowBlank="1" showInputMessage="1" showErrorMessage="1" sqref="C3" xr:uid="{AD86601E-18BA-495F-9310-4F6493DCB7BD}">
      <formula1>$B$32:$B$34</formula1>
    </dataValidation>
  </dataValidations>
  <hyperlinks>
    <hyperlink ref="B36" r:id="rId1" display="https://eur-lex.europa.eu/eli/reg/2023/443/oj/eng" xr:uid="{F9F30AA0-8FDF-4F34-BECA-E730BBF488C5}"/>
    <hyperlink ref="L10" r:id="rId2" location=":~:text=Conventional%20diesel%20and%20petrol%20are,diesel%20engine%20also%20being%20heavier." display="https://www.acea.auto/fact/differences-between-diesel-and-petrol/ - :~:text=Conventional%20diesel%20and%20petrol%20are,diesel%20engine%20also%20being%20heavier." xr:uid="{5E6A3D4E-B421-457B-B5E4-32DC9B81ACE3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7BEDF-8735-4F7F-A1CF-69E5D97D1C3D}">
  <sheetPr>
    <tabColor theme="2"/>
  </sheetPr>
  <dimension ref="A2:S57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R25" sqref="R25"/>
    </sheetView>
  </sheetViews>
  <sheetFormatPr defaultRowHeight="12.75" x14ac:dyDescent="0.2"/>
  <cols>
    <col min="13" max="13" width="3.42578125" customWidth="1"/>
    <col min="14" max="14" width="6.85546875" bestFit="1" customWidth="1"/>
    <col min="15" max="17" width="8.42578125" customWidth="1"/>
    <col min="18" max="18" width="2.42578125" customWidth="1"/>
  </cols>
  <sheetData>
    <row r="2" spans="1:19" ht="15.75" x14ac:dyDescent="0.25">
      <c r="A2" s="16" t="s">
        <v>26</v>
      </c>
    </row>
    <row r="3" spans="1:19" x14ac:dyDescent="0.2">
      <c r="A3" s="17" t="s">
        <v>27</v>
      </c>
    </row>
    <row r="4" spans="1:19" x14ac:dyDescent="0.2">
      <c r="A4" s="18" t="s">
        <v>28</v>
      </c>
      <c r="S4" t="s">
        <v>106</v>
      </c>
    </row>
    <row r="5" spans="1:19" x14ac:dyDescent="0.2">
      <c r="N5" s="19" t="s">
        <v>104</v>
      </c>
      <c r="O5" s="65" t="s">
        <v>105</v>
      </c>
      <c r="P5" s="66"/>
      <c r="Q5" s="67"/>
      <c r="S5" t="s">
        <v>107</v>
      </c>
    </row>
    <row r="6" spans="1:19" x14ac:dyDescent="0.2">
      <c r="N6" s="62"/>
      <c r="O6" s="62" t="s">
        <v>40</v>
      </c>
      <c r="P6" s="62">
        <v>2025</v>
      </c>
      <c r="Q6" s="62">
        <v>2027</v>
      </c>
      <c r="S6" t="s">
        <v>108</v>
      </c>
    </row>
    <row r="7" spans="1:19" x14ac:dyDescent="0.2">
      <c r="N7">
        <v>0</v>
      </c>
      <c r="O7" s="23" cm="1">
        <f t="array" ref="O7">IF(O$6='PHEV Worked Example'!$B$33,(1-EXP(-SUMPRODUCT('PHEV Worked Example'!$D$33:$M$33,($N7/'PHEV Worked Example'!$C$33)^(COLUMN('PHEV Worked Example'!$D$31:$M$31)-COLUMN('PHEV Worked Example'!$C$31))))-0),
 IF(O$6='PHEV Worked Example'!$B$34,(1-EXP(-SUMPRODUCT('PHEV Worked Example'!$D$34:$M$34,($N7/'PHEV Worked Example'!$C$34)^(COLUMN('PHEV Worked Example'!$D$31:$M$31)-COLUMN('PHEV Worked Example'!$C$31))))-0),
               (1-EXP(-SUMPRODUCT('PHEV Worked Example'!$D$32:$M$32,($N7/'PHEV Worked Example'!$C$32)^(COLUMN('PHEV Worked Example'!$D$31:$M$31)-COLUMN('PHEV Worked Example'!$C$31))))-0)))</f>
        <v>0</v>
      </c>
      <c r="P7" s="23" cm="1">
        <f t="array" ref="P7">IF(P$6='PHEV Worked Example'!$B$33,(1-EXP(-SUMPRODUCT('PHEV Worked Example'!$D$33:$M$33,($N7/'PHEV Worked Example'!$C$33)^(COLUMN('PHEV Worked Example'!$D$31:$M$31)-COLUMN('PHEV Worked Example'!$C$31))))-0),
 IF(P$6='PHEV Worked Example'!$B$34,(1-EXP(-SUMPRODUCT('PHEV Worked Example'!$D$34:$M$34,($N7/'PHEV Worked Example'!$C$34)^(COLUMN('PHEV Worked Example'!$D$31:$M$31)-COLUMN('PHEV Worked Example'!$C$31))))-0),
               (1-EXP(-SUMPRODUCT('PHEV Worked Example'!$D$32:$M$32,($N7/'PHEV Worked Example'!$C$32)^(COLUMN('PHEV Worked Example'!$D$31:$M$31)-COLUMN('PHEV Worked Example'!$C$31))))-0)))</f>
        <v>0</v>
      </c>
      <c r="Q7" s="23" cm="1">
        <f t="array" ref="Q7">IF(Q$6='PHEV Worked Example'!$B$33,(1-EXP(-SUMPRODUCT('PHEV Worked Example'!$D$33:$M$33,($N7/'PHEV Worked Example'!$C$33)^(COLUMN('PHEV Worked Example'!$D$31:$M$31)-COLUMN('PHEV Worked Example'!$C$31))))-0),
 IF(Q$6='PHEV Worked Example'!$B$34,(1-EXP(-SUMPRODUCT('PHEV Worked Example'!$D$34:$M$34,($N7/'PHEV Worked Example'!$C$34)^(COLUMN('PHEV Worked Example'!$D$31:$M$31)-COLUMN('PHEV Worked Example'!$C$31))))-0),
               (1-EXP(-SUMPRODUCT('PHEV Worked Example'!$D$32:$M$32,($N7/'PHEV Worked Example'!$C$32)^(COLUMN('PHEV Worked Example'!$D$31:$M$31)-COLUMN('PHEV Worked Example'!$C$31))))-0)))</f>
        <v>0</v>
      </c>
    </row>
    <row r="8" spans="1:19" x14ac:dyDescent="0.2">
      <c r="N8">
        <f>N7+5</f>
        <v>5</v>
      </c>
      <c r="O8" s="23" cm="1">
        <f t="array" ref="O8">IF(O$6='PHEV Worked Example'!$B$33,(1-EXP(-SUMPRODUCT('PHEV Worked Example'!$D$33:$M$33,($N8/'PHEV Worked Example'!$C$33)^(COLUMN('PHEV Worked Example'!$D$31:$M$31)-COLUMN('PHEV Worked Example'!$C$31))))-0),
 IF(O$6='PHEV Worked Example'!$B$34,(1-EXP(-SUMPRODUCT('PHEV Worked Example'!$D$34:$M$34,($N8/'PHEV Worked Example'!$C$34)^(COLUMN('PHEV Worked Example'!$D$31:$M$31)-COLUMN('PHEV Worked Example'!$C$31))))-0),
               (1-EXP(-SUMPRODUCT('PHEV Worked Example'!$D$32:$M$32,($N8/'PHEV Worked Example'!$C$32)^(COLUMN('PHEV Worked Example'!$D$31:$M$31)-COLUMN('PHEV Worked Example'!$C$31))))-0)))</f>
        <v>0.14989567961079264</v>
      </c>
      <c r="P8" s="23" cm="1">
        <f t="array" ref="P8">IF(P$6='PHEV Worked Example'!$B$33,(1-EXP(-SUMPRODUCT('PHEV Worked Example'!$D$33:$M$33,($N8/'PHEV Worked Example'!$C$33)^(COLUMN('PHEV Worked Example'!$D$31:$M$31)-COLUMN('PHEV Worked Example'!$C$31))))-0),
 IF(P$6='PHEV Worked Example'!$B$34,(1-EXP(-SUMPRODUCT('PHEV Worked Example'!$D$34:$M$34,($N8/'PHEV Worked Example'!$C$34)^(COLUMN('PHEV Worked Example'!$D$31:$M$31)-COLUMN('PHEV Worked Example'!$C$31))))-0),
               (1-EXP(-SUMPRODUCT('PHEV Worked Example'!$D$32:$M$32,($N8/'PHEV Worked Example'!$C$32)^(COLUMN('PHEV Worked Example'!$D$31:$M$31)-COLUMN('PHEV Worked Example'!$C$31))))-0)))</f>
        <v>5.7718016909291681E-2</v>
      </c>
      <c r="Q8" s="23" cm="1">
        <f t="array" ref="Q8">IF(Q$6='PHEV Worked Example'!$B$33,(1-EXP(-SUMPRODUCT('PHEV Worked Example'!$D$33:$M$33,($N8/'PHEV Worked Example'!$C$33)^(COLUMN('PHEV Worked Example'!$D$31:$M$31)-COLUMN('PHEV Worked Example'!$C$31))))-0),
 IF(Q$6='PHEV Worked Example'!$B$34,(1-EXP(-SUMPRODUCT('PHEV Worked Example'!$D$34:$M$34,($N8/'PHEV Worked Example'!$C$34)^(COLUMN('PHEV Worked Example'!$D$31:$M$31)-COLUMN('PHEV Worked Example'!$C$31))))-0),
               (1-EXP(-SUMPRODUCT('PHEV Worked Example'!$D$32:$M$32,($N8/'PHEV Worked Example'!$C$32)^(COLUMN('PHEV Worked Example'!$D$31:$M$31)-COLUMN('PHEV Worked Example'!$C$31))))-0)))</f>
        <v>3.0287076673711111E-2</v>
      </c>
    </row>
    <row r="9" spans="1:19" x14ac:dyDescent="0.2">
      <c r="N9">
        <f t="shared" ref="N9:N57" si="0">N8+5</f>
        <v>10</v>
      </c>
      <c r="O9" s="23" cm="1">
        <f t="array" ref="O9">IF(O$6='PHEV Worked Example'!$B$33,(1-EXP(-SUMPRODUCT('PHEV Worked Example'!$D$33:$M$33,($N9/'PHEV Worked Example'!$C$33)^(COLUMN('PHEV Worked Example'!$D$31:$M$31)-COLUMN('PHEV Worked Example'!$C$31))))-0),
 IF(O$6='PHEV Worked Example'!$B$34,(1-EXP(-SUMPRODUCT('PHEV Worked Example'!$D$34:$M$34,($N9/'PHEV Worked Example'!$C$34)^(COLUMN('PHEV Worked Example'!$D$31:$M$31)-COLUMN('PHEV Worked Example'!$C$31))))-0),
               (1-EXP(-SUMPRODUCT('PHEV Worked Example'!$D$32:$M$32,($N9/'PHEV Worked Example'!$C$32)^(COLUMN('PHEV Worked Example'!$D$31:$M$31)-COLUMN('PHEV Worked Example'!$C$31))))-0)))</f>
        <v>0.27453779202344231</v>
      </c>
      <c r="P9" s="23" cm="1">
        <f t="array" ref="P9">IF(P$6='PHEV Worked Example'!$B$33,(1-EXP(-SUMPRODUCT('PHEV Worked Example'!$D$33:$M$33,($N9/'PHEV Worked Example'!$C$33)^(COLUMN('PHEV Worked Example'!$D$31:$M$31)-COLUMN('PHEV Worked Example'!$C$31))))-0),
 IF(P$6='PHEV Worked Example'!$B$34,(1-EXP(-SUMPRODUCT('PHEV Worked Example'!$D$34:$M$34,($N9/'PHEV Worked Example'!$C$34)^(COLUMN('PHEV Worked Example'!$D$31:$M$31)-COLUMN('PHEV Worked Example'!$C$31))))-0),
               (1-EXP(-SUMPRODUCT('PHEV Worked Example'!$D$32:$M$32,($N9/'PHEV Worked Example'!$C$32)^(COLUMN('PHEV Worked Example'!$D$31:$M$31)-COLUMN('PHEV Worked Example'!$C$31))))-0)))</f>
        <v>0.11170987306982627</v>
      </c>
      <c r="Q9" s="23" cm="1">
        <f t="array" ref="Q9">IF(Q$6='PHEV Worked Example'!$B$33,(1-EXP(-SUMPRODUCT('PHEV Worked Example'!$D$33:$M$33,($N9/'PHEV Worked Example'!$C$33)^(COLUMN('PHEV Worked Example'!$D$31:$M$31)-COLUMN('PHEV Worked Example'!$C$31))))-0),
 IF(Q$6='PHEV Worked Example'!$B$34,(1-EXP(-SUMPRODUCT('PHEV Worked Example'!$D$34:$M$34,($N9/'PHEV Worked Example'!$C$34)^(COLUMN('PHEV Worked Example'!$D$31:$M$31)-COLUMN('PHEV Worked Example'!$C$31))))-0),
               (1-EXP(-SUMPRODUCT('PHEV Worked Example'!$D$32:$M$32,($N9/'PHEV Worked Example'!$C$32)^(COLUMN('PHEV Worked Example'!$D$31:$M$31)-COLUMN('PHEV Worked Example'!$C$31))))-0)))</f>
        <v>5.9550344424464607E-2</v>
      </c>
    </row>
    <row r="10" spans="1:19" x14ac:dyDescent="0.2">
      <c r="N10">
        <f t="shared" si="0"/>
        <v>15</v>
      </c>
      <c r="O10" s="23" cm="1">
        <f t="array" ref="O10">IF(O$6='PHEV Worked Example'!$B$33,(1-EXP(-SUMPRODUCT('PHEV Worked Example'!$D$33:$M$33,($N10/'PHEV Worked Example'!$C$33)^(COLUMN('PHEV Worked Example'!$D$31:$M$31)-COLUMN('PHEV Worked Example'!$C$31))))-0),
 IF(O$6='PHEV Worked Example'!$B$34,(1-EXP(-SUMPRODUCT('PHEV Worked Example'!$D$34:$M$34,($N10/'PHEV Worked Example'!$C$34)^(COLUMN('PHEV Worked Example'!$D$31:$M$31)-COLUMN('PHEV Worked Example'!$C$31))))-0),
               (1-EXP(-SUMPRODUCT('PHEV Worked Example'!$D$32:$M$32,($N10/'PHEV Worked Example'!$C$32)^(COLUMN('PHEV Worked Example'!$D$31:$M$31)-COLUMN('PHEV Worked Example'!$C$31))))-0)))</f>
        <v>0.37812708926741867</v>
      </c>
      <c r="P10" s="23" cm="1">
        <f t="array" ref="P10">IF(P$6='PHEV Worked Example'!$B$33,(1-EXP(-SUMPRODUCT('PHEV Worked Example'!$D$33:$M$33,($N10/'PHEV Worked Example'!$C$33)^(COLUMN('PHEV Worked Example'!$D$31:$M$31)-COLUMN('PHEV Worked Example'!$C$31))))-0),
 IF(P$6='PHEV Worked Example'!$B$34,(1-EXP(-SUMPRODUCT('PHEV Worked Example'!$D$34:$M$34,($N10/'PHEV Worked Example'!$C$34)^(COLUMN('PHEV Worked Example'!$D$31:$M$31)-COLUMN('PHEV Worked Example'!$C$31))))-0),
               (1-EXP(-SUMPRODUCT('PHEV Worked Example'!$D$32:$M$32,($N10/'PHEV Worked Example'!$C$32)^(COLUMN('PHEV Worked Example'!$D$31:$M$31)-COLUMN('PHEV Worked Example'!$C$31))))-0)))</f>
        <v>0.16220308611859746</v>
      </c>
      <c r="Q10" s="23" cm="1">
        <f t="array" ref="Q10">IF(Q$6='PHEV Worked Example'!$B$33,(1-EXP(-SUMPRODUCT('PHEV Worked Example'!$D$33:$M$33,($N10/'PHEV Worked Example'!$C$33)^(COLUMN('PHEV Worked Example'!$D$31:$M$31)-COLUMN('PHEV Worked Example'!$C$31))))-0),
 IF(Q$6='PHEV Worked Example'!$B$34,(1-EXP(-SUMPRODUCT('PHEV Worked Example'!$D$34:$M$34,($N10/'PHEV Worked Example'!$C$34)^(COLUMN('PHEV Worked Example'!$D$31:$M$31)-COLUMN('PHEV Worked Example'!$C$31))))-0),
               (1-EXP(-SUMPRODUCT('PHEV Worked Example'!$D$32:$M$32,($N10/'PHEV Worked Example'!$C$32)^(COLUMN('PHEV Worked Example'!$D$31:$M$31)-COLUMN('PHEV Worked Example'!$C$31))))-0)))</f>
        <v>8.7822007380450651E-2</v>
      </c>
    </row>
    <row r="11" spans="1:19" x14ac:dyDescent="0.2">
      <c r="N11">
        <f t="shared" si="0"/>
        <v>20</v>
      </c>
      <c r="O11" s="23" cm="1">
        <f t="array" ref="O11">IF(O$6='PHEV Worked Example'!$B$33,(1-EXP(-SUMPRODUCT('PHEV Worked Example'!$D$33:$M$33,($N11/'PHEV Worked Example'!$C$33)^(COLUMN('PHEV Worked Example'!$D$31:$M$31)-COLUMN('PHEV Worked Example'!$C$31))))-0),
 IF(O$6='PHEV Worked Example'!$B$34,(1-EXP(-SUMPRODUCT('PHEV Worked Example'!$D$34:$M$34,($N11/'PHEV Worked Example'!$C$34)^(COLUMN('PHEV Worked Example'!$D$31:$M$31)-COLUMN('PHEV Worked Example'!$C$31))))-0),
               (1-EXP(-SUMPRODUCT('PHEV Worked Example'!$D$32:$M$32,($N11/'PHEV Worked Example'!$C$32)^(COLUMN('PHEV Worked Example'!$D$31:$M$31)-COLUMN('PHEV Worked Example'!$C$31))))-0)))</f>
        <v>0.46428421242016549</v>
      </c>
      <c r="P11" s="23" cm="1">
        <f t="array" ref="P11">IF(P$6='PHEV Worked Example'!$B$33,(1-EXP(-SUMPRODUCT('PHEV Worked Example'!$D$33:$M$33,($N11/'PHEV Worked Example'!$C$33)^(COLUMN('PHEV Worked Example'!$D$31:$M$31)-COLUMN('PHEV Worked Example'!$C$31))))-0),
 IF(P$6='PHEV Worked Example'!$B$34,(1-EXP(-SUMPRODUCT('PHEV Worked Example'!$D$34:$M$34,($N11/'PHEV Worked Example'!$C$34)^(COLUMN('PHEV Worked Example'!$D$31:$M$31)-COLUMN('PHEV Worked Example'!$C$31))))-0),
               (1-EXP(-SUMPRODUCT('PHEV Worked Example'!$D$32:$M$32,($N11/'PHEV Worked Example'!$C$32)^(COLUMN('PHEV Worked Example'!$D$31:$M$31)-COLUMN('PHEV Worked Example'!$C$31))))-0)))</f>
        <v>0.20941593242209333</v>
      </c>
      <c r="Q11" s="23" cm="1">
        <f t="array" ref="Q11">IF(Q$6='PHEV Worked Example'!$B$33,(1-EXP(-SUMPRODUCT('PHEV Worked Example'!$D$33:$M$33,($N11/'PHEV Worked Example'!$C$33)^(COLUMN('PHEV Worked Example'!$D$31:$M$31)-COLUMN('PHEV Worked Example'!$C$31))))-0),
 IF(Q$6='PHEV Worked Example'!$B$34,(1-EXP(-SUMPRODUCT('PHEV Worked Example'!$D$34:$M$34,($N11/'PHEV Worked Example'!$C$34)^(COLUMN('PHEV Worked Example'!$D$31:$M$31)-COLUMN('PHEV Worked Example'!$C$31))))-0),
               (1-EXP(-SUMPRODUCT('PHEV Worked Example'!$D$32:$M$32,($N11/'PHEV Worked Example'!$C$32)^(COLUMN('PHEV Worked Example'!$D$31:$M$31)-COLUMN('PHEV Worked Example'!$C$31))))-0)))</f>
        <v>0.11513366635925404</v>
      </c>
    </row>
    <row r="12" spans="1:19" x14ac:dyDescent="0.2">
      <c r="N12">
        <f t="shared" si="0"/>
        <v>25</v>
      </c>
      <c r="O12" s="23" cm="1">
        <f t="array" ref="O12">IF(O$6='PHEV Worked Example'!$B$33,(1-EXP(-SUMPRODUCT('PHEV Worked Example'!$D$33:$M$33,($N12/'PHEV Worked Example'!$C$33)^(COLUMN('PHEV Worked Example'!$D$31:$M$31)-COLUMN('PHEV Worked Example'!$C$31))))-0),
 IF(O$6='PHEV Worked Example'!$B$34,(1-EXP(-SUMPRODUCT('PHEV Worked Example'!$D$34:$M$34,($N12/'PHEV Worked Example'!$C$34)^(COLUMN('PHEV Worked Example'!$D$31:$M$31)-COLUMN('PHEV Worked Example'!$C$31))))-0),
               (1-EXP(-SUMPRODUCT('PHEV Worked Example'!$D$32:$M$32,($N12/'PHEV Worked Example'!$C$32)^(COLUMN('PHEV Worked Example'!$D$31:$M$31)-COLUMN('PHEV Worked Example'!$C$31))))-0)))</f>
        <v>0.53606991106185153</v>
      </c>
      <c r="P12" s="23" cm="1">
        <f t="array" ref="P12">IF(P$6='PHEV Worked Example'!$B$33,(1-EXP(-SUMPRODUCT('PHEV Worked Example'!$D$33:$M$33,($N12/'PHEV Worked Example'!$C$33)^(COLUMN('PHEV Worked Example'!$D$31:$M$31)-COLUMN('PHEV Worked Example'!$C$31))))-0),
 IF(P$6='PHEV Worked Example'!$B$34,(1-EXP(-SUMPRODUCT('PHEV Worked Example'!$D$34:$M$34,($N12/'PHEV Worked Example'!$C$34)^(COLUMN('PHEV Worked Example'!$D$31:$M$31)-COLUMN('PHEV Worked Example'!$C$31))))-0),
               (1-EXP(-SUMPRODUCT('PHEV Worked Example'!$D$32:$M$32,($N12/'PHEV Worked Example'!$C$32)^(COLUMN('PHEV Worked Example'!$D$31:$M$31)-COLUMN('PHEV Worked Example'!$C$31))))-0)))</f>
        <v>0.2535568887918489</v>
      </c>
      <c r="Q12" s="23" cm="1">
        <f t="array" ref="Q12">IF(Q$6='PHEV Worked Example'!$B$33,(1-EXP(-SUMPRODUCT('PHEV Worked Example'!$D$33:$M$33,($N12/'PHEV Worked Example'!$C$33)^(COLUMN('PHEV Worked Example'!$D$31:$M$31)-COLUMN('PHEV Worked Example'!$C$31))))-0),
 IF(Q$6='PHEV Worked Example'!$B$34,(1-EXP(-SUMPRODUCT('PHEV Worked Example'!$D$34:$M$34,($N12/'PHEV Worked Example'!$C$34)^(COLUMN('PHEV Worked Example'!$D$31:$M$31)-COLUMN('PHEV Worked Example'!$C$31))))-0),
               (1-EXP(-SUMPRODUCT('PHEV Worked Example'!$D$32:$M$32,($N12/'PHEV Worked Example'!$C$32)^(COLUMN('PHEV Worked Example'!$D$31:$M$31)-COLUMN('PHEV Worked Example'!$C$31))))-0)))</f>
        <v>0.14151628631254209</v>
      </c>
    </row>
    <row r="13" spans="1:19" x14ac:dyDescent="0.2">
      <c r="N13">
        <f t="shared" si="0"/>
        <v>30</v>
      </c>
      <c r="O13" s="23" cm="1">
        <f t="array" ref="O13">IF(O$6='PHEV Worked Example'!$B$33,(1-EXP(-SUMPRODUCT('PHEV Worked Example'!$D$33:$M$33,($N13/'PHEV Worked Example'!$C$33)^(COLUMN('PHEV Worked Example'!$D$31:$M$31)-COLUMN('PHEV Worked Example'!$C$31))))-0),
 IF(O$6='PHEV Worked Example'!$B$34,(1-EXP(-SUMPRODUCT('PHEV Worked Example'!$D$34:$M$34,($N13/'PHEV Worked Example'!$C$34)^(COLUMN('PHEV Worked Example'!$D$31:$M$31)-COLUMN('PHEV Worked Example'!$C$31))))-0),
               (1-EXP(-SUMPRODUCT('PHEV Worked Example'!$D$32:$M$32,($N13/'PHEV Worked Example'!$C$32)^(COLUMN('PHEV Worked Example'!$D$31:$M$31)-COLUMN('PHEV Worked Example'!$C$31))))-0)))</f>
        <v>0.59603674969421294</v>
      </c>
      <c r="P13" s="23" cm="1">
        <f t="array" ref="P13">IF(P$6='PHEV Worked Example'!$B$33,(1-EXP(-SUMPRODUCT('PHEV Worked Example'!$D$33:$M$33,($N13/'PHEV Worked Example'!$C$33)^(COLUMN('PHEV Worked Example'!$D$31:$M$31)-COLUMN('PHEV Worked Example'!$C$31))))-0),
 IF(P$6='PHEV Worked Example'!$B$34,(1-EXP(-SUMPRODUCT('PHEV Worked Example'!$D$34:$M$34,($N13/'PHEV Worked Example'!$C$34)^(COLUMN('PHEV Worked Example'!$D$31:$M$31)-COLUMN('PHEV Worked Example'!$C$31))))-0),
               (1-EXP(-SUMPRODUCT('PHEV Worked Example'!$D$32:$M$32,($N13/'PHEV Worked Example'!$C$32)^(COLUMN('PHEV Worked Example'!$D$31:$M$31)-COLUMN('PHEV Worked Example'!$C$31))))-0)))</f>
        <v>0.29482430051175967</v>
      </c>
      <c r="Q13" s="23" cm="1">
        <f t="array" ref="Q13">IF(Q$6='PHEV Worked Example'!$B$33,(1-EXP(-SUMPRODUCT('PHEV Worked Example'!$D$33:$M$33,($N13/'PHEV Worked Example'!$C$33)^(COLUMN('PHEV Worked Example'!$D$31:$M$31)-COLUMN('PHEV Worked Example'!$C$31))))-0),
 IF(Q$6='PHEV Worked Example'!$B$34,(1-EXP(-SUMPRODUCT('PHEV Worked Example'!$D$34:$M$34,($N13/'PHEV Worked Example'!$C$34)^(COLUMN('PHEV Worked Example'!$D$31:$M$31)-COLUMN('PHEV Worked Example'!$C$31))))-0),
               (1-EXP(-SUMPRODUCT('PHEV Worked Example'!$D$32:$M$32,($N13/'PHEV Worked Example'!$C$32)^(COLUMN('PHEV Worked Example'!$D$31:$M$31)-COLUMN('PHEV Worked Example'!$C$31))))-0)))</f>
        <v>0.16700016935879358</v>
      </c>
    </row>
    <row r="14" spans="1:19" x14ac:dyDescent="0.2">
      <c r="N14">
        <f t="shared" si="0"/>
        <v>35</v>
      </c>
      <c r="O14" s="23" cm="1">
        <f t="array" ref="O14">IF(O$6='PHEV Worked Example'!$B$33,(1-EXP(-SUMPRODUCT('PHEV Worked Example'!$D$33:$M$33,($N14/'PHEV Worked Example'!$C$33)^(COLUMN('PHEV Worked Example'!$D$31:$M$31)-COLUMN('PHEV Worked Example'!$C$31))))-0),
 IF(O$6='PHEV Worked Example'!$B$34,(1-EXP(-SUMPRODUCT('PHEV Worked Example'!$D$34:$M$34,($N14/'PHEV Worked Example'!$C$34)^(COLUMN('PHEV Worked Example'!$D$31:$M$31)-COLUMN('PHEV Worked Example'!$C$31))))-0),
               (1-EXP(-SUMPRODUCT('PHEV Worked Example'!$D$32:$M$32,($N14/'PHEV Worked Example'!$C$32)^(COLUMN('PHEV Worked Example'!$D$31:$M$31)-COLUMN('PHEV Worked Example'!$C$31))))-0)))</f>
        <v>0.64629350488843063</v>
      </c>
      <c r="P14" s="23" cm="1">
        <f t="array" ref="P14">IF(P$6='PHEV Worked Example'!$B$33,(1-EXP(-SUMPRODUCT('PHEV Worked Example'!$D$33:$M$33,($N14/'PHEV Worked Example'!$C$33)^(COLUMN('PHEV Worked Example'!$D$31:$M$31)-COLUMN('PHEV Worked Example'!$C$31))))-0),
 IF(P$6='PHEV Worked Example'!$B$34,(1-EXP(-SUMPRODUCT('PHEV Worked Example'!$D$34:$M$34,($N14/'PHEV Worked Example'!$C$34)^(COLUMN('PHEV Worked Example'!$D$31:$M$31)-COLUMN('PHEV Worked Example'!$C$31))))-0),
               (1-EXP(-SUMPRODUCT('PHEV Worked Example'!$D$32:$M$32,($N14/'PHEV Worked Example'!$C$32)^(COLUMN('PHEV Worked Example'!$D$31:$M$31)-COLUMN('PHEV Worked Example'!$C$31))))-0)))</f>
        <v>0.33340623502870237</v>
      </c>
      <c r="Q14" s="23" cm="1">
        <f t="array" ref="Q14">IF(Q$6='PHEV Worked Example'!$B$33,(1-EXP(-SUMPRODUCT('PHEV Worked Example'!$D$33:$M$33,($N14/'PHEV Worked Example'!$C$33)^(COLUMN('PHEV Worked Example'!$D$31:$M$31)-COLUMN('PHEV Worked Example'!$C$31))))-0),
 IF(Q$6='PHEV Worked Example'!$B$34,(1-EXP(-SUMPRODUCT('PHEV Worked Example'!$D$34:$M$34,($N14/'PHEV Worked Example'!$C$34)^(COLUMN('PHEV Worked Example'!$D$31:$M$31)-COLUMN('PHEV Worked Example'!$C$31))))-0),
               (1-EXP(-SUMPRODUCT('PHEV Worked Example'!$D$32:$M$32,($N14/'PHEV Worked Example'!$C$32)^(COLUMN('PHEV Worked Example'!$D$31:$M$31)-COLUMN('PHEV Worked Example'!$C$31))))-0)))</f>
        <v>0.19161493290780307</v>
      </c>
    </row>
    <row r="15" spans="1:19" x14ac:dyDescent="0.2">
      <c r="N15">
        <f t="shared" si="0"/>
        <v>40</v>
      </c>
      <c r="O15" s="23" cm="1">
        <f t="array" ref="O15">IF(O$6='PHEV Worked Example'!$B$33,(1-EXP(-SUMPRODUCT('PHEV Worked Example'!$D$33:$M$33,($N15/'PHEV Worked Example'!$C$33)^(COLUMN('PHEV Worked Example'!$D$31:$M$31)-COLUMN('PHEV Worked Example'!$C$31))))-0),
 IF(O$6='PHEV Worked Example'!$B$34,(1-EXP(-SUMPRODUCT('PHEV Worked Example'!$D$34:$M$34,($N15/'PHEV Worked Example'!$C$34)^(COLUMN('PHEV Worked Example'!$D$31:$M$31)-COLUMN('PHEV Worked Example'!$C$31))))-0),
               (1-EXP(-SUMPRODUCT('PHEV Worked Example'!$D$32:$M$32,($N15/'PHEV Worked Example'!$C$32)^(COLUMN('PHEV Worked Example'!$D$31:$M$31)-COLUMN('PHEV Worked Example'!$C$31))))-0)))</f>
        <v>0.6885712499199742</v>
      </c>
      <c r="P15" s="23" cm="1">
        <f t="array" ref="P15">IF(P$6='PHEV Worked Example'!$B$33,(1-EXP(-SUMPRODUCT('PHEV Worked Example'!$D$33:$M$33,($N15/'PHEV Worked Example'!$C$33)^(COLUMN('PHEV Worked Example'!$D$31:$M$31)-COLUMN('PHEV Worked Example'!$C$31))))-0),
 IF(P$6='PHEV Worked Example'!$B$34,(1-EXP(-SUMPRODUCT('PHEV Worked Example'!$D$34:$M$34,($N15/'PHEV Worked Example'!$C$34)^(COLUMN('PHEV Worked Example'!$D$31:$M$31)-COLUMN('PHEV Worked Example'!$C$31))))-0),
               (1-EXP(-SUMPRODUCT('PHEV Worked Example'!$D$32:$M$32,($N15/'PHEV Worked Example'!$C$32)^(COLUMN('PHEV Worked Example'!$D$31:$M$31)-COLUMN('PHEV Worked Example'!$C$31))))-0)))</f>
        <v>0.36948048604093631</v>
      </c>
      <c r="Q15" s="23" cm="1">
        <f t="array" ref="Q15">IF(Q$6='PHEV Worked Example'!$B$33,(1-EXP(-SUMPRODUCT('PHEV Worked Example'!$D$33:$M$33,($N15/'PHEV Worked Example'!$C$33)^(COLUMN('PHEV Worked Example'!$D$31:$M$31)-COLUMN('PHEV Worked Example'!$C$31))))-0),
 IF(Q$6='PHEV Worked Example'!$B$34,(1-EXP(-SUMPRODUCT('PHEV Worked Example'!$D$34:$M$34,($N15/'PHEV Worked Example'!$C$34)^(COLUMN('PHEV Worked Example'!$D$31:$M$31)-COLUMN('PHEV Worked Example'!$C$31))))-0),
               (1-EXP(-SUMPRODUCT('PHEV Worked Example'!$D$32:$M$32,($N15/'PHEV Worked Example'!$C$32)^(COLUMN('PHEV Worked Example'!$D$31:$M$31)-COLUMN('PHEV Worked Example'!$C$31))))-0)))</f>
        <v>0.21538949241203276</v>
      </c>
    </row>
    <row r="16" spans="1:19" x14ac:dyDescent="0.2">
      <c r="N16">
        <f t="shared" si="0"/>
        <v>45</v>
      </c>
      <c r="O16" s="23" cm="1">
        <f t="array" ref="O16">IF(O$6='PHEV Worked Example'!$B$33,(1-EXP(-SUMPRODUCT('PHEV Worked Example'!$D$33:$M$33,($N16/'PHEV Worked Example'!$C$33)^(COLUMN('PHEV Worked Example'!$D$31:$M$31)-COLUMN('PHEV Worked Example'!$C$31))))-0),
 IF(O$6='PHEV Worked Example'!$B$34,(1-EXP(-SUMPRODUCT('PHEV Worked Example'!$D$34:$M$34,($N16/'PHEV Worked Example'!$C$34)^(COLUMN('PHEV Worked Example'!$D$31:$M$31)-COLUMN('PHEV Worked Example'!$C$31))))-0),
               (1-EXP(-SUMPRODUCT('PHEV Worked Example'!$D$32:$M$32,($N16/'PHEV Worked Example'!$C$32)^(COLUMN('PHEV Worked Example'!$D$31:$M$31)-COLUMN('PHEV Worked Example'!$C$31))))-0)))</f>
        <v>0.72428523165170322</v>
      </c>
      <c r="P16" s="23" cm="1">
        <f t="array" ref="P16">IF(P$6='PHEV Worked Example'!$B$33,(1-EXP(-SUMPRODUCT('PHEV Worked Example'!$D$33:$M$33,($N16/'PHEV Worked Example'!$C$33)^(COLUMN('PHEV Worked Example'!$D$31:$M$31)-COLUMN('PHEV Worked Example'!$C$31))))-0),
 IF(P$6='PHEV Worked Example'!$B$34,(1-EXP(-SUMPRODUCT('PHEV Worked Example'!$D$34:$M$34,($N16/'PHEV Worked Example'!$C$34)^(COLUMN('PHEV Worked Example'!$D$31:$M$31)-COLUMN('PHEV Worked Example'!$C$31))))-0),
               (1-EXP(-SUMPRODUCT('PHEV Worked Example'!$D$32:$M$32,($N16/'PHEV Worked Example'!$C$32)^(COLUMN('PHEV Worked Example'!$D$31:$M$31)-COLUMN('PHEV Worked Example'!$C$31))))-0)))</f>
        <v>0.4032146976298856</v>
      </c>
      <c r="Q16" s="23" cm="1">
        <f t="array" ref="Q16">IF(Q$6='PHEV Worked Example'!$B$33,(1-EXP(-SUMPRODUCT('PHEV Worked Example'!$D$33:$M$33,($N16/'PHEV Worked Example'!$C$33)^(COLUMN('PHEV Worked Example'!$D$31:$M$31)-COLUMN('PHEV Worked Example'!$C$31))))-0),
 IF(Q$6='PHEV Worked Example'!$B$34,(1-EXP(-SUMPRODUCT('PHEV Worked Example'!$D$34:$M$34,($N16/'PHEV Worked Example'!$C$34)^(COLUMN('PHEV Worked Example'!$D$31:$M$31)-COLUMN('PHEV Worked Example'!$C$31))))-0),
               (1-EXP(-SUMPRODUCT('PHEV Worked Example'!$D$32:$M$32,($N16/'PHEV Worked Example'!$C$32)^(COLUMN('PHEV Worked Example'!$D$31:$M$31)-COLUMN('PHEV Worked Example'!$C$31))))-0)))</f>
        <v>0.2383520483102648</v>
      </c>
    </row>
    <row r="17" spans="14:17" x14ac:dyDescent="0.2">
      <c r="N17">
        <f t="shared" si="0"/>
        <v>50</v>
      </c>
      <c r="O17" s="23" cm="1">
        <f t="array" ref="O17">IF(O$6='PHEV Worked Example'!$B$33,(1-EXP(-SUMPRODUCT('PHEV Worked Example'!$D$33:$M$33,($N17/'PHEV Worked Example'!$C$33)^(COLUMN('PHEV Worked Example'!$D$31:$M$31)-COLUMN('PHEV Worked Example'!$C$31))))-0),
 IF(O$6='PHEV Worked Example'!$B$34,(1-EXP(-SUMPRODUCT('PHEV Worked Example'!$D$34:$M$34,($N17/'PHEV Worked Example'!$C$34)^(COLUMN('PHEV Worked Example'!$D$31:$M$31)-COLUMN('PHEV Worked Example'!$C$31))))-0),
               (1-EXP(-SUMPRODUCT('PHEV Worked Example'!$D$32:$M$32,($N17/'PHEV Worked Example'!$C$32)^(COLUMN('PHEV Worked Example'!$D$31:$M$31)-COLUMN('PHEV Worked Example'!$C$31))))-0)))</f>
        <v>0.75458982674217689</v>
      </c>
      <c r="P17" s="23" cm="1">
        <f t="array" ref="P17">IF(P$6='PHEV Worked Example'!$B$33,(1-EXP(-SUMPRODUCT('PHEV Worked Example'!$D$33:$M$33,($N17/'PHEV Worked Example'!$C$33)^(COLUMN('PHEV Worked Example'!$D$31:$M$31)-COLUMN('PHEV Worked Example'!$C$31))))-0),
 IF(P$6='PHEV Worked Example'!$B$34,(1-EXP(-SUMPRODUCT('PHEV Worked Example'!$D$34:$M$34,($N17/'PHEV Worked Example'!$C$34)^(COLUMN('PHEV Worked Example'!$D$31:$M$31)-COLUMN('PHEV Worked Example'!$C$31))))-0),
               (1-EXP(-SUMPRODUCT('PHEV Worked Example'!$D$32:$M$32,($N17/'PHEV Worked Example'!$C$32)^(COLUMN('PHEV Worked Example'!$D$31:$M$31)-COLUMN('PHEV Worked Example'!$C$31))))-0)))</f>
        <v>0.43476658250949007</v>
      </c>
      <c r="Q17" s="23" cm="1">
        <f t="array" ref="Q17">IF(Q$6='PHEV Worked Example'!$B$33,(1-EXP(-SUMPRODUCT('PHEV Worked Example'!$D$33:$M$33,($N17/'PHEV Worked Example'!$C$33)^(COLUMN('PHEV Worked Example'!$D$31:$M$31)-COLUMN('PHEV Worked Example'!$C$31))))-0),
 IF(Q$6='PHEV Worked Example'!$B$34,(1-EXP(-SUMPRODUCT('PHEV Worked Example'!$D$34:$M$34,($N17/'PHEV Worked Example'!$C$34)^(COLUMN('PHEV Worked Example'!$D$31:$M$31)-COLUMN('PHEV Worked Example'!$C$31))))-0),
               (1-EXP(-SUMPRODUCT('PHEV Worked Example'!$D$32:$M$32,($N17/'PHEV Worked Example'!$C$32)^(COLUMN('PHEV Worked Example'!$D$31:$M$31)-COLUMN('PHEV Worked Example'!$C$31))))-0)))</f>
        <v>0.26053007675832507</v>
      </c>
    </row>
    <row r="18" spans="14:17" x14ac:dyDescent="0.2">
      <c r="N18">
        <f t="shared" si="0"/>
        <v>55</v>
      </c>
      <c r="O18" s="23" cm="1">
        <f t="array" ref="O18">IF(O$6='PHEV Worked Example'!$B$33,(1-EXP(-SUMPRODUCT('PHEV Worked Example'!$D$33:$M$33,($N18/'PHEV Worked Example'!$C$33)^(COLUMN('PHEV Worked Example'!$D$31:$M$31)-COLUMN('PHEV Worked Example'!$C$31))))-0),
 IF(O$6='PHEV Worked Example'!$B$34,(1-EXP(-SUMPRODUCT('PHEV Worked Example'!$D$34:$M$34,($N18/'PHEV Worked Example'!$C$34)^(COLUMN('PHEV Worked Example'!$D$31:$M$31)-COLUMN('PHEV Worked Example'!$C$31))))-0),
               (1-EXP(-SUMPRODUCT('PHEV Worked Example'!$D$32:$M$32,($N18/'PHEV Worked Example'!$C$32)^(COLUMN('PHEV Worked Example'!$D$31:$M$31)-COLUMN('PHEV Worked Example'!$C$31))))-0)))</f>
        <v>0.78042574078525584</v>
      </c>
      <c r="P18" s="23" cm="1">
        <f t="array" ref="P18">IF(P$6='PHEV Worked Example'!$B$33,(1-EXP(-SUMPRODUCT('PHEV Worked Example'!$D$33:$M$33,($N18/'PHEV Worked Example'!$C$33)^(COLUMN('PHEV Worked Example'!$D$31:$M$31)-COLUMN('PHEV Worked Example'!$C$31))))-0),
 IF(P$6='PHEV Worked Example'!$B$34,(1-EXP(-SUMPRODUCT('PHEV Worked Example'!$D$34:$M$34,($N18/'PHEV Worked Example'!$C$34)^(COLUMN('PHEV Worked Example'!$D$31:$M$31)-COLUMN('PHEV Worked Example'!$C$31))))-0),
               (1-EXP(-SUMPRODUCT('PHEV Worked Example'!$D$32:$M$32,($N18/'PHEV Worked Example'!$C$32)^(COLUMN('PHEV Worked Example'!$D$31:$M$31)-COLUMN('PHEV Worked Example'!$C$31))))-0)))</f>
        <v>0.46428421242016549</v>
      </c>
      <c r="Q18" s="23" cm="1">
        <f t="array" ref="Q18">IF(Q$6='PHEV Worked Example'!$B$33,(1-EXP(-SUMPRODUCT('PHEV Worked Example'!$D$33:$M$33,($N18/'PHEV Worked Example'!$C$33)^(COLUMN('PHEV Worked Example'!$D$31:$M$31)-COLUMN('PHEV Worked Example'!$C$31))))-0),
 IF(Q$6='PHEV Worked Example'!$B$34,(1-EXP(-SUMPRODUCT('PHEV Worked Example'!$D$34:$M$34,($N18/'PHEV Worked Example'!$C$34)^(COLUMN('PHEV Worked Example'!$D$31:$M$31)-COLUMN('PHEV Worked Example'!$C$31))))-0),
               (1-EXP(-SUMPRODUCT('PHEV Worked Example'!$D$32:$M$32,($N18/'PHEV Worked Example'!$C$32)^(COLUMN('PHEV Worked Example'!$D$31:$M$31)-COLUMN('PHEV Worked Example'!$C$31))))-0)))</f>
        <v>0.28195032376981544</v>
      </c>
    </row>
    <row r="19" spans="14:17" x14ac:dyDescent="0.2">
      <c r="N19">
        <f t="shared" si="0"/>
        <v>60</v>
      </c>
      <c r="O19" s="23" cm="1">
        <f t="array" ref="O19">IF(O$6='PHEV Worked Example'!$B$33,(1-EXP(-SUMPRODUCT('PHEV Worked Example'!$D$33:$M$33,($N19/'PHEV Worked Example'!$C$33)^(COLUMN('PHEV Worked Example'!$D$31:$M$31)-COLUMN('PHEV Worked Example'!$C$31))))-0),
 IF(O$6='PHEV Worked Example'!$B$34,(1-EXP(-SUMPRODUCT('PHEV Worked Example'!$D$34:$M$34,($N19/'PHEV Worked Example'!$C$34)^(COLUMN('PHEV Worked Example'!$D$31:$M$31)-COLUMN('PHEV Worked Example'!$C$31))))-0),
               (1-EXP(-SUMPRODUCT('PHEV Worked Example'!$D$32:$M$32,($N19/'PHEV Worked Example'!$C$32)^(COLUMN('PHEV Worked Example'!$D$31:$M$31)-COLUMN('PHEV Worked Example'!$C$31))))-0)))</f>
        <v>0.80255964529264501</v>
      </c>
      <c r="P19" s="23" cm="1">
        <f t="array" ref="P19">IF(P$6='PHEV Worked Example'!$B$33,(1-EXP(-SUMPRODUCT('PHEV Worked Example'!$D$33:$M$33,($N19/'PHEV Worked Example'!$C$33)^(COLUMN('PHEV Worked Example'!$D$31:$M$31)-COLUMN('PHEV Worked Example'!$C$31))))-0),
 IF(P$6='PHEV Worked Example'!$B$34,(1-EXP(-SUMPRODUCT('PHEV Worked Example'!$D$34:$M$34,($N19/'PHEV Worked Example'!$C$34)^(COLUMN('PHEV Worked Example'!$D$31:$M$31)-COLUMN('PHEV Worked Example'!$C$31))))-0),
               (1-EXP(-SUMPRODUCT('PHEV Worked Example'!$D$32:$M$32,($N19/'PHEV Worked Example'!$C$32)^(COLUMN('PHEV Worked Example'!$D$31:$M$31)-COLUMN('PHEV Worked Example'!$C$31))))-0)))</f>
        <v>0.49190636219061812</v>
      </c>
      <c r="Q19" s="23" cm="1">
        <f t="array" ref="Q19">IF(Q$6='PHEV Worked Example'!$B$33,(1-EXP(-SUMPRODUCT('PHEV Worked Example'!$D$33:$M$33,($N19/'PHEV Worked Example'!$C$33)^(COLUMN('PHEV Worked Example'!$D$31:$M$31)-COLUMN('PHEV Worked Example'!$C$31))))-0),
 IF(Q$6='PHEV Worked Example'!$B$34,(1-EXP(-SUMPRODUCT('PHEV Worked Example'!$D$34:$M$34,($N19/'PHEV Worked Example'!$C$34)^(COLUMN('PHEV Worked Example'!$D$31:$M$31)-COLUMN('PHEV Worked Example'!$C$31))))-0),
               (1-EXP(-SUMPRODUCT('PHEV Worked Example'!$D$32:$M$32,($N19/'PHEV Worked Example'!$C$32)^(COLUMN('PHEV Worked Example'!$D$31:$M$31)-COLUMN('PHEV Worked Example'!$C$31))))-0)))</f>
        <v>0.30263880241675833</v>
      </c>
    </row>
    <row r="20" spans="14:17" x14ac:dyDescent="0.2">
      <c r="N20">
        <f t="shared" si="0"/>
        <v>65</v>
      </c>
      <c r="O20" s="23" cm="1">
        <f t="array" ref="O20">IF(O$6='PHEV Worked Example'!$B$33,(1-EXP(-SUMPRODUCT('PHEV Worked Example'!$D$33:$M$33,($N20/'PHEV Worked Example'!$C$33)^(COLUMN('PHEV Worked Example'!$D$31:$M$31)-COLUMN('PHEV Worked Example'!$C$31))))-0),
 IF(O$6='PHEV Worked Example'!$B$34,(1-EXP(-SUMPRODUCT('PHEV Worked Example'!$D$34:$M$34,($N20/'PHEV Worked Example'!$C$34)^(COLUMN('PHEV Worked Example'!$D$31:$M$31)-COLUMN('PHEV Worked Example'!$C$31))))-0),
               (1-EXP(-SUMPRODUCT('PHEV Worked Example'!$D$32:$M$32,($N20/'PHEV Worked Example'!$C$32)^(COLUMN('PHEV Worked Example'!$D$31:$M$31)-COLUMN('PHEV Worked Example'!$C$31))))-0)))</f>
        <v>0.82161695494564357</v>
      </c>
      <c r="P20" s="23" cm="1">
        <f t="array" ref="P20">IF(P$6='PHEV Worked Example'!$B$33,(1-EXP(-SUMPRODUCT('PHEV Worked Example'!$D$33:$M$33,($N20/'PHEV Worked Example'!$C$33)^(COLUMN('PHEV Worked Example'!$D$31:$M$31)-COLUMN('PHEV Worked Example'!$C$31))))-0),
 IF(P$6='PHEV Worked Example'!$B$34,(1-EXP(-SUMPRODUCT('PHEV Worked Example'!$D$34:$M$34,($N20/'PHEV Worked Example'!$C$34)^(COLUMN('PHEV Worked Example'!$D$31:$M$31)-COLUMN('PHEV Worked Example'!$C$31))))-0),
               (1-EXP(-SUMPRODUCT('PHEV Worked Example'!$D$32:$M$32,($N20/'PHEV Worked Example'!$C$32)^(COLUMN('PHEV Worked Example'!$D$31:$M$31)-COLUMN('PHEV Worked Example'!$C$31))))-0)))</f>
        <v>0.5177628920576316</v>
      </c>
      <c r="Q20" s="23" cm="1">
        <f t="array" ref="Q20">IF(Q$6='PHEV Worked Example'!$B$33,(1-EXP(-SUMPRODUCT('PHEV Worked Example'!$D$33:$M$33,($N20/'PHEV Worked Example'!$C$33)^(COLUMN('PHEV Worked Example'!$D$31:$M$31)-COLUMN('PHEV Worked Example'!$C$31))))-0),
 IF(Q$6='PHEV Worked Example'!$B$34,(1-EXP(-SUMPRODUCT('PHEV Worked Example'!$D$34:$M$34,($N20/'PHEV Worked Example'!$C$34)^(COLUMN('PHEV Worked Example'!$D$31:$M$31)-COLUMN('PHEV Worked Example'!$C$31))))-0),
               (1-EXP(-SUMPRODUCT('PHEV Worked Example'!$D$32:$M$32,($N20/'PHEV Worked Example'!$C$32)^(COLUMN('PHEV Worked Example'!$D$31:$M$31)-COLUMN('PHEV Worked Example'!$C$31))))-0)))</f>
        <v>0.32262079276577726</v>
      </c>
    </row>
    <row r="21" spans="14:17" x14ac:dyDescent="0.2">
      <c r="N21">
        <f t="shared" si="0"/>
        <v>70</v>
      </c>
      <c r="O21" s="23" cm="1">
        <f t="array" ref="O21">IF(O$6='PHEV Worked Example'!$B$33,(1-EXP(-SUMPRODUCT('PHEV Worked Example'!$D$33:$M$33,($N21/'PHEV Worked Example'!$C$33)^(COLUMN('PHEV Worked Example'!$D$31:$M$31)-COLUMN('PHEV Worked Example'!$C$31))))-0),
 IF(O$6='PHEV Worked Example'!$B$34,(1-EXP(-SUMPRODUCT('PHEV Worked Example'!$D$34:$M$34,($N21/'PHEV Worked Example'!$C$34)^(COLUMN('PHEV Worked Example'!$D$31:$M$31)-COLUMN('PHEV Worked Example'!$C$31))))-0),
               (1-EXP(-SUMPRODUCT('PHEV Worked Example'!$D$32:$M$32,($N21/'PHEV Worked Example'!$C$32)^(COLUMN('PHEV Worked Example'!$D$31:$M$31)-COLUMN('PHEV Worked Example'!$C$31))))-0)))</f>
        <v>0.83810864525670903</v>
      </c>
      <c r="P21" s="23" cm="1">
        <f t="array" ref="P21">IF(P$6='PHEV Worked Example'!$B$33,(1-EXP(-SUMPRODUCT('PHEV Worked Example'!$D$33:$M$33,($N21/'PHEV Worked Example'!$C$33)^(COLUMN('PHEV Worked Example'!$D$31:$M$31)-COLUMN('PHEV Worked Example'!$C$31))))-0),
 IF(P$6='PHEV Worked Example'!$B$34,(1-EXP(-SUMPRODUCT('PHEV Worked Example'!$D$34:$M$34,($N21/'PHEV Worked Example'!$C$34)^(COLUMN('PHEV Worked Example'!$D$31:$M$31)-COLUMN('PHEV Worked Example'!$C$31))))-0),
               (1-EXP(-SUMPRODUCT('PHEV Worked Example'!$D$32:$M$32,($N21/'PHEV Worked Example'!$C$32)^(COLUMN('PHEV Worked Example'!$D$31:$M$31)-COLUMN('PHEV Worked Example'!$C$31))))-0)))</f>
        <v>0.54197515550372632</v>
      </c>
      <c r="Q21" s="23" cm="1">
        <f t="array" ref="Q21">IF(Q$6='PHEV Worked Example'!$B$33,(1-EXP(-SUMPRODUCT('PHEV Worked Example'!$D$33:$M$33,($N21/'PHEV Worked Example'!$C$33)^(COLUMN('PHEV Worked Example'!$D$31:$M$31)-COLUMN('PHEV Worked Example'!$C$31))))-0),
 IF(Q$6='PHEV Worked Example'!$B$34,(1-EXP(-SUMPRODUCT('PHEV Worked Example'!$D$34:$M$34,($N21/'PHEV Worked Example'!$C$34)^(COLUMN('PHEV Worked Example'!$D$31:$M$31)-COLUMN('PHEV Worked Example'!$C$31))))-0),
               (1-EXP(-SUMPRODUCT('PHEV Worked Example'!$D$32:$M$32,($N21/'PHEV Worked Example'!$C$32)^(COLUMN('PHEV Worked Example'!$D$31:$M$31)-COLUMN('PHEV Worked Example'!$C$31))))-0)))</f>
        <v>0.34192084424989355</v>
      </c>
    </row>
    <row r="22" spans="14:17" x14ac:dyDescent="0.2">
      <c r="N22">
        <f t="shared" si="0"/>
        <v>75</v>
      </c>
      <c r="O22" s="23" cm="1">
        <f t="array" ref="O22">IF(O$6='PHEV Worked Example'!$B$33,(1-EXP(-SUMPRODUCT('PHEV Worked Example'!$D$33:$M$33,($N22/'PHEV Worked Example'!$C$33)^(COLUMN('PHEV Worked Example'!$D$31:$M$31)-COLUMN('PHEV Worked Example'!$C$31))))-0),
 IF(O$6='PHEV Worked Example'!$B$34,(1-EXP(-SUMPRODUCT('PHEV Worked Example'!$D$34:$M$34,($N22/'PHEV Worked Example'!$C$34)^(COLUMN('PHEV Worked Example'!$D$31:$M$31)-COLUMN('PHEV Worked Example'!$C$31))))-0),
               (1-EXP(-SUMPRODUCT('PHEV Worked Example'!$D$32:$M$32,($N22/'PHEV Worked Example'!$C$32)^(COLUMN('PHEV Worked Example'!$D$31:$M$31)-COLUMN('PHEV Worked Example'!$C$31))))-0)))</f>
        <v>0.85245303560182206</v>
      </c>
      <c r="P22" s="23" cm="1">
        <f t="array" ref="P22">IF(P$6='PHEV Worked Example'!$B$33,(1-EXP(-SUMPRODUCT('PHEV Worked Example'!$D$33:$M$33,($N22/'PHEV Worked Example'!$C$33)^(COLUMN('PHEV Worked Example'!$D$31:$M$31)-COLUMN('PHEV Worked Example'!$C$31))))-0),
 IF(P$6='PHEV Worked Example'!$B$34,(1-EXP(-SUMPRODUCT('PHEV Worked Example'!$D$34:$M$34,($N22/'PHEV Worked Example'!$C$34)^(COLUMN('PHEV Worked Example'!$D$31:$M$31)-COLUMN('PHEV Worked Example'!$C$31))))-0),
               (1-EXP(-SUMPRODUCT('PHEV Worked Example'!$D$32:$M$32,($N22/'PHEV Worked Example'!$C$32)^(COLUMN('PHEV Worked Example'!$D$31:$M$31)-COLUMN('PHEV Worked Example'!$C$31))))-0)))</f>
        <v>0.56465642218015311</v>
      </c>
      <c r="Q22" s="23" cm="1">
        <f t="array" ref="Q22">IF(Q$6='PHEV Worked Example'!$B$33,(1-EXP(-SUMPRODUCT('PHEV Worked Example'!$D$33:$M$33,($N22/'PHEV Worked Example'!$C$33)^(COLUMN('PHEV Worked Example'!$D$31:$M$31)-COLUMN('PHEV Worked Example'!$C$31))))-0),
 IF(Q$6='PHEV Worked Example'!$B$34,(1-EXP(-SUMPRODUCT('PHEV Worked Example'!$D$34:$M$34,($N22/'PHEV Worked Example'!$C$34)^(COLUMN('PHEV Worked Example'!$D$31:$M$31)-COLUMN('PHEV Worked Example'!$C$31))))-0),
               (1-EXP(-SUMPRODUCT('PHEV Worked Example'!$D$32:$M$32,($N22/'PHEV Worked Example'!$C$32)^(COLUMN('PHEV Worked Example'!$D$31:$M$31)-COLUMN('PHEV Worked Example'!$C$31))))-0)))</f>
        <v>0.3605627801991963</v>
      </c>
    </row>
    <row r="23" spans="14:17" x14ac:dyDescent="0.2">
      <c r="N23">
        <f t="shared" si="0"/>
        <v>80</v>
      </c>
      <c r="O23" s="23" cm="1">
        <f t="array" ref="O23">IF(O$6='PHEV Worked Example'!$B$33,(1-EXP(-SUMPRODUCT('PHEV Worked Example'!$D$33:$M$33,($N23/'PHEV Worked Example'!$C$33)^(COLUMN('PHEV Worked Example'!$D$31:$M$31)-COLUMN('PHEV Worked Example'!$C$31))))-0),
 IF(O$6='PHEV Worked Example'!$B$34,(1-EXP(-SUMPRODUCT('PHEV Worked Example'!$D$34:$M$34,($N23/'PHEV Worked Example'!$C$34)^(COLUMN('PHEV Worked Example'!$D$31:$M$31)-COLUMN('PHEV Worked Example'!$C$31))))-0),
               (1-EXP(-SUMPRODUCT('PHEV Worked Example'!$D$32:$M$32,($N23/'PHEV Worked Example'!$C$32)^(COLUMN('PHEV Worked Example'!$D$31:$M$31)-COLUMN('PHEV Worked Example'!$C$31))))-0)))</f>
        <v>0.86499339887190629</v>
      </c>
      <c r="P23" s="23" cm="1">
        <f t="array" ref="P23">IF(P$6='PHEV Worked Example'!$B$33,(1-EXP(-SUMPRODUCT('PHEV Worked Example'!$D$33:$M$33,($N23/'PHEV Worked Example'!$C$33)^(COLUMN('PHEV Worked Example'!$D$31:$M$31)-COLUMN('PHEV Worked Example'!$C$31))))-0),
 IF(P$6='PHEV Worked Example'!$B$34,(1-EXP(-SUMPRODUCT('PHEV Worked Example'!$D$34:$M$34,($N23/'PHEV Worked Example'!$C$34)^(COLUMN('PHEV Worked Example'!$D$31:$M$31)-COLUMN('PHEV Worked Example'!$C$31))))-0),
               (1-EXP(-SUMPRODUCT('PHEV Worked Example'!$D$32:$M$32,($N23/'PHEV Worked Example'!$C$32)^(COLUMN('PHEV Worked Example'!$D$31:$M$31)-COLUMN('PHEV Worked Example'!$C$31))))-0)))</f>
        <v>0.58591230746354905</v>
      </c>
      <c r="Q23" s="23" cm="1">
        <f t="array" ref="Q23">IF(Q$6='PHEV Worked Example'!$B$33,(1-EXP(-SUMPRODUCT('PHEV Worked Example'!$D$33:$M$33,($N23/'PHEV Worked Example'!$C$33)^(COLUMN('PHEV Worked Example'!$D$31:$M$31)-COLUMN('PHEV Worked Example'!$C$31))))-0),
 IF(Q$6='PHEV Worked Example'!$B$34,(1-EXP(-SUMPRODUCT('PHEV Worked Example'!$D$34:$M$34,($N23/'PHEV Worked Example'!$C$34)^(COLUMN('PHEV Worked Example'!$D$31:$M$31)-COLUMN('PHEV Worked Example'!$C$31))))-0),
               (1-EXP(-SUMPRODUCT('PHEV Worked Example'!$D$32:$M$32,($N23/'PHEV Worked Example'!$C$32)^(COLUMN('PHEV Worked Example'!$D$31:$M$31)-COLUMN('PHEV Worked Example'!$C$31))))-0)))</f>
        <v>0.37856970427556502</v>
      </c>
    </row>
    <row r="24" spans="14:17" x14ac:dyDescent="0.2">
      <c r="N24">
        <f t="shared" si="0"/>
        <v>85</v>
      </c>
      <c r="O24" s="23" cm="1">
        <f t="array" ref="O24">IF(O$6='PHEV Worked Example'!$B$33,(1-EXP(-SUMPRODUCT('PHEV Worked Example'!$D$33:$M$33,($N24/'PHEV Worked Example'!$C$33)^(COLUMN('PHEV Worked Example'!$D$31:$M$31)-COLUMN('PHEV Worked Example'!$C$31))))-0),
 IF(O$6='PHEV Worked Example'!$B$34,(1-EXP(-SUMPRODUCT('PHEV Worked Example'!$D$34:$M$34,($N24/'PHEV Worked Example'!$C$34)^(COLUMN('PHEV Worked Example'!$D$31:$M$31)-COLUMN('PHEV Worked Example'!$C$31))))-0),
               (1-EXP(-SUMPRODUCT('PHEV Worked Example'!$D$32:$M$32,($N24/'PHEV Worked Example'!$C$32)^(COLUMN('PHEV Worked Example'!$D$31:$M$31)-COLUMN('PHEV Worked Example'!$C$31))))-0)))</f>
        <v>0.87601215668368637</v>
      </c>
      <c r="P24" s="23" cm="1">
        <f t="array" ref="P24">IF(P$6='PHEV Worked Example'!$B$33,(1-EXP(-SUMPRODUCT('PHEV Worked Example'!$D$33:$M$33,($N24/'PHEV Worked Example'!$C$33)^(COLUMN('PHEV Worked Example'!$D$31:$M$31)-COLUMN('PHEV Worked Example'!$C$31))))-0),
 IF(P$6='PHEV Worked Example'!$B$34,(1-EXP(-SUMPRODUCT('PHEV Worked Example'!$D$34:$M$34,($N24/'PHEV Worked Example'!$C$34)^(COLUMN('PHEV Worked Example'!$D$31:$M$31)-COLUMN('PHEV Worked Example'!$C$31))))-0),
               (1-EXP(-SUMPRODUCT('PHEV Worked Example'!$D$32:$M$32,($N24/'PHEV Worked Example'!$C$32)^(COLUMN('PHEV Worked Example'!$D$31:$M$31)-COLUMN('PHEV Worked Example'!$C$31))))-0)))</f>
        <v>0.60584120188377533</v>
      </c>
      <c r="Q24" s="23" cm="1">
        <f t="array" ref="Q24">IF(Q$6='PHEV Worked Example'!$B$33,(1-EXP(-SUMPRODUCT('PHEV Worked Example'!$D$33:$M$33,($N24/'PHEV Worked Example'!$C$33)^(COLUMN('PHEV Worked Example'!$D$31:$M$31)-COLUMN('PHEV Worked Example'!$C$31))))-0),
 IF(Q$6='PHEV Worked Example'!$B$34,(1-EXP(-SUMPRODUCT('PHEV Worked Example'!$D$34:$M$34,($N24/'PHEV Worked Example'!$C$34)^(COLUMN('PHEV Worked Example'!$D$31:$M$31)-COLUMN('PHEV Worked Example'!$C$31))))-0),
               (1-EXP(-SUMPRODUCT('PHEV Worked Example'!$D$32:$M$32,($N24/'PHEV Worked Example'!$C$32)^(COLUMN('PHEV Worked Example'!$D$31:$M$31)-COLUMN('PHEV Worked Example'!$C$31))))-0)))</f>
        <v>0.39596400857727443</v>
      </c>
    </row>
    <row r="25" spans="14:17" x14ac:dyDescent="0.2">
      <c r="N25">
        <f t="shared" si="0"/>
        <v>90</v>
      </c>
      <c r="O25" s="23" cm="1">
        <f t="array" ref="O25">IF(O$6='PHEV Worked Example'!$B$33,(1-EXP(-SUMPRODUCT('PHEV Worked Example'!$D$33:$M$33,($N25/'PHEV Worked Example'!$C$33)^(COLUMN('PHEV Worked Example'!$D$31:$M$31)-COLUMN('PHEV Worked Example'!$C$31))))-0),
 IF(O$6='PHEV Worked Example'!$B$34,(1-EXP(-SUMPRODUCT('PHEV Worked Example'!$D$34:$M$34,($N25/'PHEV Worked Example'!$C$34)^(COLUMN('PHEV Worked Example'!$D$31:$M$31)-COLUMN('PHEV Worked Example'!$C$31))))-0),
               (1-EXP(-SUMPRODUCT('PHEV Worked Example'!$D$32:$M$32,($N25/'PHEV Worked Example'!$C$32)^(COLUMN('PHEV Worked Example'!$D$31:$M$31)-COLUMN('PHEV Worked Example'!$C$31))))-0)))</f>
        <v>0.88574230633148565</v>
      </c>
      <c r="P25" s="23" cm="1">
        <f t="array" ref="P25">IF(P$6='PHEV Worked Example'!$B$33,(1-EXP(-SUMPRODUCT('PHEV Worked Example'!$D$33:$M$33,($N25/'PHEV Worked Example'!$C$33)^(COLUMN('PHEV Worked Example'!$D$31:$M$31)-COLUMN('PHEV Worked Example'!$C$31))))-0),
 IF(P$6='PHEV Worked Example'!$B$34,(1-EXP(-SUMPRODUCT('PHEV Worked Example'!$D$34:$M$34,($N25/'PHEV Worked Example'!$C$34)^(COLUMN('PHEV Worked Example'!$D$31:$M$31)-COLUMN('PHEV Worked Example'!$C$31))))-0),
               (1-EXP(-SUMPRODUCT('PHEV Worked Example'!$D$32:$M$32,($N25/'PHEV Worked Example'!$C$32)^(COLUMN('PHEV Worked Example'!$D$31:$M$31)-COLUMN('PHEV Worked Example'!$C$31))))-0)))</f>
        <v>0.62453469509149606</v>
      </c>
      <c r="Q25" s="23" cm="1">
        <f t="array" ref="Q25">IF(Q$6='PHEV Worked Example'!$B$33,(1-EXP(-SUMPRODUCT('PHEV Worked Example'!$D$33:$M$33,($N25/'PHEV Worked Example'!$C$33)^(COLUMN('PHEV Worked Example'!$D$31:$M$31)-COLUMN('PHEV Worked Example'!$C$31))))-0),
 IF(Q$6='PHEV Worked Example'!$B$34,(1-EXP(-SUMPRODUCT('PHEV Worked Example'!$D$34:$M$34,($N25/'PHEV Worked Example'!$C$34)^(COLUMN('PHEV Worked Example'!$D$31:$M$31)-COLUMN('PHEV Worked Example'!$C$31))))-0),
               (1-EXP(-SUMPRODUCT('PHEV Worked Example'!$D$32:$M$32,($N25/'PHEV Worked Example'!$C$32)^(COLUMN('PHEV Worked Example'!$D$31:$M$31)-COLUMN('PHEV Worked Example'!$C$31))))-0)))</f>
        <v>0.41276738319874884</v>
      </c>
    </row>
    <row r="26" spans="14:17" x14ac:dyDescent="0.2">
      <c r="N26">
        <f t="shared" si="0"/>
        <v>95</v>
      </c>
      <c r="O26" s="23" cm="1">
        <f t="array" ref="O26">IF(O$6='PHEV Worked Example'!$B$33,(1-EXP(-SUMPRODUCT('PHEV Worked Example'!$D$33:$M$33,($N26/'PHEV Worked Example'!$C$33)^(COLUMN('PHEV Worked Example'!$D$31:$M$31)-COLUMN('PHEV Worked Example'!$C$31))))-0),
 IF(O$6='PHEV Worked Example'!$B$34,(1-EXP(-SUMPRODUCT('PHEV Worked Example'!$D$34:$M$34,($N26/'PHEV Worked Example'!$C$34)^(COLUMN('PHEV Worked Example'!$D$31:$M$31)-COLUMN('PHEV Worked Example'!$C$31))))-0),
               (1-EXP(-SUMPRODUCT('PHEV Worked Example'!$D$32:$M$32,($N26/'PHEV Worked Example'!$C$32)^(COLUMN('PHEV Worked Example'!$D$31:$M$31)-COLUMN('PHEV Worked Example'!$C$31))))-0)))</f>
        <v>0.89437661724000339</v>
      </c>
      <c r="P26" s="23" cm="1">
        <f t="array" ref="P26">IF(P$6='PHEV Worked Example'!$B$33,(1-EXP(-SUMPRODUCT('PHEV Worked Example'!$D$33:$M$33,($N26/'PHEV Worked Example'!$C$33)^(COLUMN('PHEV Worked Example'!$D$31:$M$31)-COLUMN('PHEV Worked Example'!$C$31))))-0),
 IF(P$6='PHEV Worked Example'!$B$34,(1-EXP(-SUMPRODUCT('PHEV Worked Example'!$D$34:$M$34,($N26/'PHEV Worked Example'!$C$34)^(COLUMN('PHEV Worked Example'!$D$31:$M$31)-COLUMN('PHEV Worked Example'!$C$31))))-0),
               (1-EXP(-SUMPRODUCT('PHEV Worked Example'!$D$32:$M$32,($N26/'PHEV Worked Example'!$C$32)^(COLUMN('PHEV Worked Example'!$D$31:$M$31)-COLUMN('PHEV Worked Example'!$C$31))))-0)))</f>
        <v>0.6420779902383793</v>
      </c>
      <c r="Q26" s="23" cm="1">
        <f t="array" ref="Q26">IF(Q$6='PHEV Worked Example'!$B$33,(1-EXP(-SUMPRODUCT('PHEV Worked Example'!$D$33:$M$33,($N26/'PHEV Worked Example'!$C$33)^(COLUMN('PHEV Worked Example'!$D$31:$M$31)-COLUMN('PHEV Worked Example'!$C$31))))-0),
 IF(Q$6='PHEV Worked Example'!$B$34,(1-EXP(-SUMPRODUCT('PHEV Worked Example'!$D$34:$M$34,($N26/'PHEV Worked Example'!$C$34)^(COLUMN('PHEV Worked Example'!$D$31:$M$31)-COLUMN('PHEV Worked Example'!$C$31))))-0),
               (1-EXP(-SUMPRODUCT('PHEV Worked Example'!$D$32:$M$32,($N26/'PHEV Worked Example'!$C$32)^(COLUMN('PHEV Worked Example'!$D$31:$M$31)-COLUMN('PHEV Worked Example'!$C$31))))-0)))</f>
        <v>0.42900082704895925</v>
      </c>
    </row>
    <row r="27" spans="14:17" x14ac:dyDescent="0.2">
      <c r="N27">
        <f t="shared" si="0"/>
        <v>100</v>
      </c>
      <c r="O27" s="23" cm="1">
        <f t="array" ref="O27">IF(O$6='PHEV Worked Example'!$B$33,(1-EXP(-SUMPRODUCT('PHEV Worked Example'!$D$33:$M$33,($N27/'PHEV Worked Example'!$C$33)^(COLUMN('PHEV Worked Example'!$D$31:$M$31)-COLUMN('PHEV Worked Example'!$C$31))))-0),
 IF(O$6='PHEV Worked Example'!$B$34,(1-EXP(-SUMPRODUCT('PHEV Worked Example'!$D$34:$M$34,($N27/'PHEV Worked Example'!$C$34)^(COLUMN('PHEV Worked Example'!$D$31:$M$31)-COLUMN('PHEV Worked Example'!$C$31))))-0),
               (1-EXP(-SUMPRODUCT('PHEV Worked Example'!$D$32:$M$32,($N27/'PHEV Worked Example'!$C$32)^(COLUMN('PHEV Worked Example'!$D$31:$M$31)-COLUMN('PHEV Worked Example'!$C$31))))-0)))</f>
        <v>0.90207503747893414</v>
      </c>
      <c r="P27" s="23" cm="1">
        <f t="array" ref="P27">IF(P$6='PHEV Worked Example'!$B$33,(1-EXP(-SUMPRODUCT('PHEV Worked Example'!$D$33:$M$33,($N27/'PHEV Worked Example'!$C$33)^(COLUMN('PHEV Worked Example'!$D$31:$M$31)-COLUMN('PHEV Worked Example'!$C$31))))-0),
 IF(P$6='PHEV Worked Example'!$B$34,(1-EXP(-SUMPRODUCT('PHEV Worked Example'!$D$34:$M$34,($N27/'PHEV Worked Example'!$C$34)^(COLUMN('PHEV Worked Example'!$D$31:$M$31)-COLUMN('PHEV Worked Example'!$C$31))))-0),
               (1-EXP(-SUMPRODUCT('PHEV Worked Example'!$D$32:$M$32,($N27/'PHEV Worked Example'!$C$32)^(COLUMN('PHEV Worked Example'!$D$31:$M$31)-COLUMN('PHEV Worked Example'!$C$31))))-0)))</f>
        <v>0.65855030564949257</v>
      </c>
      <c r="Q27" s="23" cm="1">
        <f t="array" ref="Q27">IF(Q$6='PHEV Worked Example'!$B$33,(1-EXP(-SUMPRODUCT('PHEV Worked Example'!$D$33:$M$33,($N27/'PHEV Worked Example'!$C$33)^(COLUMN('PHEV Worked Example'!$D$31:$M$31)-COLUMN('PHEV Worked Example'!$C$31))))-0),
 IF(Q$6='PHEV Worked Example'!$B$34,(1-EXP(-SUMPRODUCT('PHEV Worked Example'!$D$34:$M$34,($N27/'PHEV Worked Example'!$C$34)^(COLUMN('PHEV Worked Example'!$D$31:$M$31)-COLUMN('PHEV Worked Example'!$C$31))))-0),
               (1-EXP(-SUMPRODUCT('PHEV Worked Example'!$D$32:$M$32,($N27/'PHEV Worked Example'!$C$32)^(COLUMN('PHEV Worked Example'!$D$31:$M$31)-COLUMN('PHEV Worked Example'!$C$31))))-0)))</f>
        <v>0.44468465974902549</v>
      </c>
    </row>
    <row r="28" spans="14:17" x14ac:dyDescent="0.2">
      <c r="N28">
        <f t="shared" si="0"/>
        <v>105</v>
      </c>
      <c r="O28" s="23" cm="1">
        <f t="array" ref="O28">IF(O$6='PHEV Worked Example'!$B$33,(1-EXP(-SUMPRODUCT('PHEV Worked Example'!$D$33:$M$33,($N28/'PHEV Worked Example'!$C$33)^(COLUMN('PHEV Worked Example'!$D$31:$M$31)-COLUMN('PHEV Worked Example'!$C$31))))-0),
 IF(O$6='PHEV Worked Example'!$B$34,(1-EXP(-SUMPRODUCT('PHEV Worked Example'!$D$34:$M$34,($N28/'PHEV Worked Example'!$C$34)^(COLUMN('PHEV Worked Example'!$D$31:$M$31)-COLUMN('PHEV Worked Example'!$C$31))))-0),
               (1-EXP(-SUMPRODUCT('PHEV Worked Example'!$D$32:$M$32,($N28/'PHEV Worked Example'!$C$32)^(COLUMN('PHEV Worked Example'!$D$31:$M$31)-COLUMN('PHEV Worked Example'!$C$31))))-0)))</f>
        <v>0.90897066732517284</v>
      </c>
      <c r="P28" s="23" cm="1">
        <f t="array" ref="P28">IF(P$6='PHEV Worked Example'!$B$33,(1-EXP(-SUMPRODUCT('PHEV Worked Example'!$D$33:$M$33,($N28/'PHEV Worked Example'!$C$33)^(COLUMN('PHEV Worked Example'!$D$31:$M$31)-COLUMN('PHEV Worked Example'!$C$31))))-0),
 IF(P$6='PHEV Worked Example'!$B$34,(1-EXP(-SUMPRODUCT('PHEV Worked Example'!$D$34:$M$34,($N28/'PHEV Worked Example'!$C$34)^(COLUMN('PHEV Worked Example'!$D$31:$M$31)-COLUMN('PHEV Worked Example'!$C$31))))-0),
               (1-EXP(-SUMPRODUCT('PHEV Worked Example'!$D$32:$M$32,($N28/'PHEV Worked Example'!$C$32)^(COLUMN('PHEV Worked Example'!$D$31:$M$31)-COLUMN('PHEV Worked Example'!$C$31))))-0)))</f>
        <v>0.67402526150294961</v>
      </c>
      <c r="Q28" s="23" cm="1">
        <f t="array" ref="Q28">IF(Q$6='PHEV Worked Example'!$B$33,(1-EXP(-SUMPRODUCT('PHEV Worked Example'!$D$33:$M$33,($N28/'PHEV Worked Example'!$C$33)^(COLUMN('PHEV Worked Example'!$D$31:$M$31)-COLUMN('PHEV Worked Example'!$C$31))))-0),
 IF(Q$6='PHEV Worked Example'!$B$34,(1-EXP(-SUMPRODUCT('PHEV Worked Example'!$D$34:$M$34,($N28/'PHEV Worked Example'!$C$34)^(COLUMN('PHEV Worked Example'!$D$31:$M$31)-COLUMN('PHEV Worked Example'!$C$31))))-0),
               (1-EXP(-SUMPRODUCT('PHEV Worked Example'!$D$32:$M$32,($N28/'PHEV Worked Example'!$C$32)^(COLUMN('PHEV Worked Example'!$D$31:$M$31)-COLUMN('PHEV Worked Example'!$C$31))))-0)))</f>
        <v>0.4598385344455278</v>
      </c>
    </row>
    <row r="29" spans="14:17" x14ac:dyDescent="0.2">
      <c r="N29">
        <f t="shared" si="0"/>
        <v>110</v>
      </c>
      <c r="O29" s="23" cm="1">
        <f t="array" ref="O29">IF(O$6='PHEV Worked Example'!$B$33,(1-EXP(-SUMPRODUCT('PHEV Worked Example'!$D$33:$M$33,($N29/'PHEV Worked Example'!$C$33)^(COLUMN('PHEV Worked Example'!$D$31:$M$31)-COLUMN('PHEV Worked Example'!$C$31))))-0),
 IF(O$6='PHEV Worked Example'!$B$34,(1-EXP(-SUMPRODUCT('PHEV Worked Example'!$D$34:$M$34,($N29/'PHEV Worked Example'!$C$34)^(COLUMN('PHEV Worked Example'!$D$31:$M$31)-COLUMN('PHEV Worked Example'!$C$31))))-0),
               (1-EXP(-SUMPRODUCT('PHEV Worked Example'!$D$32:$M$32,($N29/'PHEV Worked Example'!$C$32)^(COLUMN('PHEV Worked Example'!$D$31:$M$31)-COLUMN('PHEV Worked Example'!$C$31))))-0)))</f>
        <v>0.91517458691162923</v>
      </c>
      <c r="P29" s="23" cm="1">
        <f t="array" ref="P29">IF(P$6='PHEV Worked Example'!$B$33,(1-EXP(-SUMPRODUCT('PHEV Worked Example'!$D$33:$M$33,($N29/'PHEV Worked Example'!$C$33)^(COLUMN('PHEV Worked Example'!$D$31:$M$31)-COLUMN('PHEV Worked Example'!$C$31))))-0),
 IF(P$6='PHEV Worked Example'!$B$34,(1-EXP(-SUMPRODUCT('PHEV Worked Example'!$D$34:$M$34,($N29/'PHEV Worked Example'!$C$34)^(COLUMN('PHEV Worked Example'!$D$31:$M$31)-COLUMN('PHEV Worked Example'!$C$31))))-0),
               (1-EXP(-SUMPRODUCT('PHEV Worked Example'!$D$32:$M$32,($N29/'PHEV Worked Example'!$C$32)^(COLUMN('PHEV Worked Example'!$D$31:$M$31)-COLUMN('PHEV Worked Example'!$C$31))))-0)))</f>
        <v>0.6885712499199742</v>
      </c>
      <c r="Q29" s="23" cm="1">
        <f t="array" ref="Q29">IF(Q$6='PHEV Worked Example'!$B$33,(1-EXP(-SUMPRODUCT('PHEV Worked Example'!$D$33:$M$33,($N29/'PHEV Worked Example'!$C$33)^(COLUMN('PHEV Worked Example'!$D$31:$M$31)-COLUMN('PHEV Worked Example'!$C$31))))-0),
 IF(Q$6='PHEV Worked Example'!$B$34,(1-EXP(-SUMPRODUCT('PHEV Worked Example'!$D$34:$M$34,($N29/'PHEV Worked Example'!$C$34)^(COLUMN('PHEV Worked Example'!$D$31:$M$31)-COLUMN('PHEV Worked Example'!$C$31))))-0),
               (1-EXP(-SUMPRODUCT('PHEV Worked Example'!$D$32:$M$32,($N29/'PHEV Worked Example'!$C$32)^(COLUMN('PHEV Worked Example'!$D$31:$M$31)-COLUMN('PHEV Worked Example'!$C$31))))-0)))</f>
        <v>0.47448145139089426</v>
      </c>
    </row>
    <row r="30" spans="14:17" x14ac:dyDescent="0.2">
      <c r="N30">
        <f t="shared" si="0"/>
        <v>115</v>
      </c>
      <c r="O30" s="23" cm="1">
        <f t="array" ref="O30">IF(O$6='PHEV Worked Example'!$B$33,(1-EXP(-SUMPRODUCT('PHEV Worked Example'!$D$33:$M$33,($N30/'PHEV Worked Example'!$C$33)^(COLUMN('PHEV Worked Example'!$D$31:$M$31)-COLUMN('PHEV Worked Example'!$C$31))))-0),
 IF(O$6='PHEV Worked Example'!$B$34,(1-EXP(-SUMPRODUCT('PHEV Worked Example'!$D$34:$M$34,($N30/'PHEV Worked Example'!$C$34)^(COLUMN('PHEV Worked Example'!$D$31:$M$31)-COLUMN('PHEV Worked Example'!$C$31))))-0),
               (1-EXP(-SUMPRODUCT('PHEV Worked Example'!$D$32:$M$32,($N30/'PHEV Worked Example'!$C$32)^(COLUMN('PHEV Worked Example'!$D$31:$M$31)-COLUMN('PHEV Worked Example'!$C$31))))-0)))</f>
        <v>0.9207797675234537</v>
      </c>
      <c r="P30" s="23" cm="1">
        <f t="array" ref="P30">IF(P$6='PHEV Worked Example'!$B$33,(1-EXP(-SUMPRODUCT('PHEV Worked Example'!$D$33:$M$33,($N30/'PHEV Worked Example'!$C$33)^(COLUMN('PHEV Worked Example'!$D$31:$M$31)-COLUMN('PHEV Worked Example'!$C$31))))-0),
 IF(P$6='PHEV Worked Example'!$B$34,(1-EXP(-SUMPRODUCT('PHEV Worked Example'!$D$34:$M$34,($N30/'PHEV Worked Example'!$C$34)^(COLUMN('PHEV Worked Example'!$D$31:$M$31)-COLUMN('PHEV Worked Example'!$C$31))))-0),
               (1-EXP(-SUMPRODUCT('PHEV Worked Example'!$D$32:$M$32,($N30/'PHEV Worked Example'!$C$32)^(COLUMN('PHEV Worked Example'!$D$31:$M$31)-COLUMN('PHEV Worked Example'!$C$31))))-0)))</f>
        <v>0.70225178743059558</v>
      </c>
      <c r="Q30" s="23" cm="1">
        <f t="array" ref="Q30">IF(Q$6='PHEV Worked Example'!$B$33,(1-EXP(-SUMPRODUCT('PHEV Worked Example'!$D$33:$M$33,($N30/'PHEV Worked Example'!$C$33)^(COLUMN('PHEV Worked Example'!$D$31:$M$31)-COLUMN('PHEV Worked Example'!$C$31))))-0),
 IF(Q$6='PHEV Worked Example'!$B$34,(1-EXP(-SUMPRODUCT('PHEV Worked Example'!$D$34:$M$34,($N30/'PHEV Worked Example'!$C$34)^(COLUMN('PHEV Worked Example'!$D$31:$M$31)-COLUMN('PHEV Worked Example'!$C$31))))-0),
               (1-EXP(-SUMPRODUCT('PHEV Worked Example'!$D$32:$M$32,($N30/'PHEV Worked Example'!$C$32)^(COLUMN('PHEV Worked Example'!$D$31:$M$31)-COLUMN('PHEV Worked Example'!$C$31))))-0)))</f>
        <v>0.48863177215606202</v>
      </c>
    </row>
    <row r="31" spans="14:17" x14ac:dyDescent="0.2">
      <c r="N31">
        <f t="shared" si="0"/>
        <v>120</v>
      </c>
      <c r="O31" s="23" cm="1">
        <f t="array" ref="O31">IF(O$6='PHEV Worked Example'!$B$33,(1-EXP(-SUMPRODUCT('PHEV Worked Example'!$D$33:$M$33,($N31/'PHEV Worked Example'!$C$33)^(COLUMN('PHEV Worked Example'!$D$31:$M$31)-COLUMN('PHEV Worked Example'!$C$31))))-0),
 IF(O$6='PHEV Worked Example'!$B$34,(1-EXP(-SUMPRODUCT('PHEV Worked Example'!$D$34:$M$34,($N31/'PHEV Worked Example'!$C$34)^(COLUMN('PHEV Worked Example'!$D$31:$M$31)-COLUMN('PHEV Worked Example'!$C$31))))-0),
               (1-EXP(-SUMPRODUCT('PHEV Worked Example'!$D$32:$M$32,($N31/'PHEV Worked Example'!$C$32)^(COLUMN('PHEV Worked Example'!$D$31:$M$31)-COLUMN('PHEV Worked Example'!$C$31))))-0)))</f>
        <v>0.92586424947103674</v>
      </c>
      <c r="P31" s="23" cm="1">
        <f t="array" ref="P31">IF(P$6='PHEV Worked Example'!$B$33,(1-EXP(-SUMPRODUCT('PHEV Worked Example'!$D$33:$M$33,($N31/'PHEV Worked Example'!$C$33)^(COLUMN('PHEV Worked Example'!$D$31:$M$31)-COLUMN('PHEV Worked Example'!$C$31))))-0),
 IF(P$6='PHEV Worked Example'!$B$34,(1-EXP(-SUMPRODUCT('PHEV Worked Example'!$D$34:$M$34,($N31/'PHEV Worked Example'!$C$34)^(COLUMN('PHEV Worked Example'!$D$31:$M$31)-COLUMN('PHEV Worked Example'!$C$31))))-0),
               (1-EXP(-SUMPRODUCT('PHEV Worked Example'!$D$32:$M$32,($N31/'PHEV Worked Example'!$C$32)^(COLUMN('PHEV Worked Example'!$D$31:$M$31)-COLUMN('PHEV Worked Example'!$C$31))))-0)))</f>
        <v>0.7151258492348973</v>
      </c>
      <c r="Q31" s="23" cm="1">
        <f t="array" ref="Q31">IF(Q$6='PHEV Worked Example'!$B$33,(1-EXP(-SUMPRODUCT('PHEV Worked Example'!$D$33:$M$33,($N31/'PHEV Worked Example'!$C$33)^(COLUMN('PHEV Worked Example'!$D$31:$M$31)-COLUMN('PHEV Worked Example'!$C$31))))-0),
 IF(Q$6='PHEV Worked Example'!$B$34,(1-EXP(-SUMPRODUCT('PHEV Worked Example'!$D$34:$M$34,($N31/'PHEV Worked Example'!$C$34)^(COLUMN('PHEV Worked Example'!$D$31:$M$31)-COLUMN('PHEV Worked Example'!$C$31))))-0),
               (1-EXP(-SUMPRODUCT('PHEV Worked Example'!$D$32:$M$32,($N31/'PHEV Worked Example'!$C$32)^(COLUMN('PHEV Worked Example'!$D$31:$M$31)-COLUMN('PHEV Worked Example'!$C$31))))-0)))</f>
        <v>0.50230723435344971</v>
      </c>
    </row>
    <row r="32" spans="14:17" x14ac:dyDescent="0.2">
      <c r="N32">
        <f t="shared" si="0"/>
        <v>125</v>
      </c>
      <c r="O32" s="23" cm="1">
        <f t="array" ref="O32">IF(O$6='PHEV Worked Example'!$B$33,(1-EXP(-SUMPRODUCT('PHEV Worked Example'!$D$33:$M$33,($N32/'PHEV Worked Example'!$C$33)^(COLUMN('PHEV Worked Example'!$D$31:$M$31)-COLUMN('PHEV Worked Example'!$C$31))))-0),
 IF(O$6='PHEV Worked Example'!$B$34,(1-EXP(-SUMPRODUCT('PHEV Worked Example'!$D$34:$M$34,($N32/'PHEV Worked Example'!$C$34)^(COLUMN('PHEV Worked Example'!$D$31:$M$31)-COLUMN('PHEV Worked Example'!$C$31))))-0),
               (1-EXP(-SUMPRODUCT('PHEV Worked Example'!$D$32:$M$32,($N32/'PHEV Worked Example'!$C$32)^(COLUMN('PHEV Worked Example'!$D$31:$M$31)-COLUMN('PHEV Worked Example'!$C$31))))-0)))</f>
        <v>0.93049373198114071</v>
      </c>
      <c r="P32" s="23" cm="1">
        <f t="array" ref="P32">IF(P$6='PHEV Worked Example'!$B$33,(1-EXP(-SUMPRODUCT('PHEV Worked Example'!$D$33:$M$33,($N32/'PHEV Worked Example'!$C$33)^(COLUMN('PHEV Worked Example'!$D$31:$M$31)-COLUMN('PHEV Worked Example'!$C$31))))-0),
 IF(P$6='PHEV Worked Example'!$B$34,(1-EXP(-SUMPRODUCT('PHEV Worked Example'!$D$34:$M$34,($N32/'PHEV Worked Example'!$C$34)^(COLUMN('PHEV Worked Example'!$D$31:$M$31)-COLUMN('PHEV Worked Example'!$C$31))))-0),
               (1-EXP(-SUMPRODUCT('PHEV Worked Example'!$D$32:$M$32,($N32/'PHEV Worked Example'!$C$32)^(COLUMN('PHEV Worked Example'!$D$31:$M$31)-COLUMN('PHEV Worked Example'!$C$31))))-0)))</f>
        <v>0.72724818504372235</v>
      </c>
      <c r="Q32" s="23" cm="1">
        <f t="array" ref="Q32">IF(Q$6='PHEV Worked Example'!$B$33,(1-EXP(-SUMPRODUCT('PHEV Worked Example'!$D$33:$M$33,($N32/'PHEV Worked Example'!$C$33)^(COLUMN('PHEV Worked Example'!$D$31:$M$31)-COLUMN('PHEV Worked Example'!$C$31))))-0),
 IF(Q$6='PHEV Worked Example'!$B$34,(1-EXP(-SUMPRODUCT('PHEV Worked Example'!$D$34:$M$34,($N32/'PHEV Worked Example'!$C$34)^(COLUMN('PHEV Worked Example'!$D$31:$M$31)-COLUMN('PHEV Worked Example'!$C$31))))-0),
               (1-EXP(-SUMPRODUCT('PHEV Worked Example'!$D$32:$M$32,($N32/'PHEV Worked Example'!$C$32)^(COLUMN('PHEV Worked Example'!$D$31:$M$31)-COLUMN('PHEV Worked Example'!$C$31))))-0)))</f>
        <v>0.51552496676017956</v>
      </c>
    </row>
    <row r="33" spans="14:17" x14ac:dyDescent="0.2">
      <c r="N33">
        <f t="shared" si="0"/>
        <v>130</v>
      </c>
      <c r="O33" s="23" cm="1">
        <f t="array" ref="O33">IF(O$6='PHEV Worked Example'!$B$33,(1-EXP(-SUMPRODUCT('PHEV Worked Example'!$D$33:$M$33,($N33/'PHEV Worked Example'!$C$33)^(COLUMN('PHEV Worked Example'!$D$31:$M$31)-COLUMN('PHEV Worked Example'!$C$31))))-0),
 IF(O$6='PHEV Worked Example'!$B$34,(1-EXP(-SUMPRODUCT('PHEV Worked Example'!$D$34:$M$34,($N33/'PHEV Worked Example'!$C$34)^(COLUMN('PHEV Worked Example'!$D$31:$M$31)-COLUMN('PHEV Worked Example'!$C$31))))-0),
               (1-EXP(-SUMPRODUCT('PHEV Worked Example'!$D$32:$M$32,($N33/'PHEV Worked Example'!$C$32)^(COLUMN('PHEV Worked Example'!$D$31:$M$31)-COLUMN('PHEV Worked Example'!$C$31))))-0)))</f>
        <v>0.93472369060796534</v>
      </c>
      <c r="P33" s="23" cm="1">
        <f t="array" ref="P33">IF(P$6='PHEV Worked Example'!$B$33,(1-EXP(-SUMPRODUCT('PHEV Worked Example'!$D$33:$M$33,($N33/'PHEV Worked Example'!$C$33)^(COLUMN('PHEV Worked Example'!$D$31:$M$31)-COLUMN('PHEV Worked Example'!$C$31))))-0),
 IF(P$6='PHEV Worked Example'!$B$34,(1-EXP(-SUMPRODUCT('PHEV Worked Example'!$D$34:$M$34,($N33/'PHEV Worked Example'!$C$34)^(COLUMN('PHEV Worked Example'!$D$31:$M$31)-COLUMN('PHEV Worked Example'!$C$31))))-0),
               (1-EXP(-SUMPRODUCT('PHEV Worked Example'!$D$32:$M$32,($N33/'PHEV Worked Example'!$C$32)^(COLUMN('PHEV Worked Example'!$D$31:$M$31)-COLUMN('PHEV Worked Example'!$C$31))))-0)))</f>
        <v>0.73866961657032049</v>
      </c>
      <c r="Q33" s="23" cm="1">
        <f t="array" ref="Q33">IF(Q$6='PHEV Worked Example'!$B$33,(1-EXP(-SUMPRODUCT('PHEV Worked Example'!$D$33:$M$33,($N33/'PHEV Worked Example'!$C$33)^(COLUMN('PHEV Worked Example'!$D$31:$M$31)-COLUMN('PHEV Worked Example'!$C$31))))-0),
 IF(Q$6='PHEV Worked Example'!$B$34,(1-EXP(-SUMPRODUCT('PHEV Worked Example'!$D$34:$M$34,($N33/'PHEV Worked Example'!$C$34)^(COLUMN('PHEV Worked Example'!$D$31:$M$31)-COLUMN('PHEV Worked Example'!$C$31))))-0),
               (1-EXP(-SUMPRODUCT('PHEV Worked Example'!$D$32:$M$32,($N33/'PHEV Worked Example'!$C$32)^(COLUMN('PHEV Worked Example'!$D$31:$M$31)-COLUMN('PHEV Worked Example'!$C$31))))-0)))</f>
        <v>0.52830150474250503</v>
      </c>
    </row>
    <row r="34" spans="14:17" x14ac:dyDescent="0.2">
      <c r="N34">
        <f t="shared" si="0"/>
        <v>135</v>
      </c>
      <c r="O34" s="23" cm="1">
        <f t="array" ref="O34">IF(O$6='PHEV Worked Example'!$B$33,(1-EXP(-SUMPRODUCT('PHEV Worked Example'!$D$33:$M$33,($N34/'PHEV Worked Example'!$C$33)^(COLUMN('PHEV Worked Example'!$D$31:$M$31)-COLUMN('PHEV Worked Example'!$C$31))))-0),
 IF(O$6='PHEV Worked Example'!$B$34,(1-EXP(-SUMPRODUCT('PHEV Worked Example'!$D$34:$M$34,($N34/'PHEV Worked Example'!$C$34)^(COLUMN('PHEV Worked Example'!$D$31:$M$31)-COLUMN('PHEV Worked Example'!$C$31))))-0),
               (1-EXP(-SUMPRODUCT('PHEV Worked Example'!$D$32:$M$32,($N34/'PHEV Worked Example'!$C$32)^(COLUMN('PHEV Worked Example'!$D$31:$M$31)-COLUMN('PHEV Worked Example'!$C$31))))-0)))</f>
        <v>0.93860111386922462</v>
      </c>
      <c r="P34" s="23" cm="1">
        <f t="array" ref="P34">IF(P$6='PHEV Worked Example'!$B$33,(1-EXP(-SUMPRODUCT('PHEV Worked Example'!$D$33:$M$33,($N34/'PHEV Worked Example'!$C$33)^(COLUMN('PHEV Worked Example'!$D$31:$M$31)-COLUMN('PHEV Worked Example'!$C$31))))-0),
 IF(P$6='PHEV Worked Example'!$B$34,(1-EXP(-SUMPRODUCT('PHEV Worked Example'!$D$34:$M$34,($N34/'PHEV Worked Example'!$C$34)^(COLUMN('PHEV Worked Example'!$D$31:$M$31)-COLUMN('PHEV Worked Example'!$C$31))))-0),
               (1-EXP(-SUMPRODUCT('PHEV Worked Example'!$D$32:$M$32,($N34/'PHEV Worked Example'!$C$32)^(COLUMN('PHEV Worked Example'!$D$31:$M$31)-COLUMN('PHEV Worked Example'!$C$31))))-0)))</f>
        <v>0.74943731696814275</v>
      </c>
      <c r="Q34" s="23" cm="1">
        <f t="array" ref="Q34">IF(Q$6='PHEV Worked Example'!$B$33,(1-EXP(-SUMPRODUCT('PHEV Worked Example'!$D$33:$M$33,($N34/'PHEV Worked Example'!$C$33)^(COLUMN('PHEV Worked Example'!$D$31:$M$31)-COLUMN('PHEV Worked Example'!$C$31))))-0),
 IF(Q$6='PHEV Worked Example'!$B$34,(1-EXP(-SUMPRODUCT('PHEV Worked Example'!$D$34:$M$34,($N34/'PHEV Worked Example'!$C$34)^(COLUMN('PHEV Worked Example'!$D$31:$M$31)-COLUMN('PHEV Worked Example'!$C$31))))-0),
               (1-EXP(-SUMPRODUCT('PHEV Worked Example'!$D$32:$M$32,($N34/'PHEV Worked Example'!$C$32)^(COLUMN('PHEV Worked Example'!$D$31:$M$31)-COLUMN('PHEV Worked Example'!$C$31))))-0)))</f>
        <v>0.54065280589256748</v>
      </c>
    </row>
    <row r="35" spans="14:17" x14ac:dyDescent="0.2">
      <c r="N35">
        <f t="shared" si="0"/>
        <v>140</v>
      </c>
      <c r="O35" s="23" cm="1">
        <f t="array" ref="O35">IF(O$6='PHEV Worked Example'!$B$33,(1-EXP(-SUMPRODUCT('PHEV Worked Example'!$D$33:$M$33,($N35/'PHEV Worked Example'!$C$33)^(COLUMN('PHEV Worked Example'!$D$31:$M$31)-COLUMN('PHEV Worked Example'!$C$31))))-0),
 IF(O$6='PHEV Worked Example'!$B$34,(1-EXP(-SUMPRODUCT('PHEV Worked Example'!$D$34:$M$34,($N35/'PHEV Worked Example'!$C$34)^(COLUMN('PHEV Worked Example'!$D$31:$M$31)-COLUMN('PHEV Worked Example'!$C$31))))-0),
               (1-EXP(-SUMPRODUCT('PHEV Worked Example'!$D$32:$M$32,($N35/'PHEV Worked Example'!$C$32)^(COLUMN('PHEV Worked Example'!$D$31:$M$31)-COLUMN('PHEV Worked Example'!$C$31))))-0)))</f>
        <v>0.9421659319642135</v>
      </c>
      <c r="P35" s="23" cm="1">
        <f t="array" ref="P35">IF(P$6='PHEV Worked Example'!$B$33,(1-EXP(-SUMPRODUCT('PHEV Worked Example'!$D$33:$M$33,($N35/'PHEV Worked Example'!$C$33)^(COLUMN('PHEV Worked Example'!$D$31:$M$31)-COLUMN('PHEV Worked Example'!$C$31))))-0),
 IF(P$6='PHEV Worked Example'!$B$34,(1-EXP(-SUMPRODUCT('PHEV Worked Example'!$D$34:$M$34,($N35/'PHEV Worked Example'!$C$34)^(COLUMN('PHEV Worked Example'!$D$31:$M$31)-COLUMN('PHEV Worked Example'!$C$31))))-0),
               (1-EXP(-SUMPRODUCT('PHEV Worked Example'!$D$32:$M$32,($N35/'PHEV Worked Example'!$C$32)^(COLUMN('PHEV Worked Example'!$D$31:$M$31)-COLUMN('PHEV Worked Example'!$C$31))))-0)))</f>
        <v>0.75959507268058335</v>
      </c>
      <c r="Q35" s="23" cm="1">
        <f t="array" ref="Q35">IF(Q$6='PHEV Worked Example'!$B$33,(1-EXP(-SUMPRODUCT('PHEV Worked Example'!$D$33:$M$33,($N35/'PHEV Worked Example'!$C$33)^(COLUMN('PHEV Worked Example'!$D$31:$M$31)-COLUMN('PHEV Worked Example'!$C$31))))-0),
 IF(Q$6='PHEV Worked Example'!$B$34,(1-EXP(-SUMPRODUCT('PHEV Worked Example'!$D$34:$M$34,($N35/'PHEV Worked Example'!$C$34)^(COLUMN('PHEV Worked Example'!$D$31:$M$31)-COLUMN('PHEV Worked Example'!$C$31))))-0),
               (1-EXP(-SUMPRODUCT('PHEV Worked Example'!$D$32:$M$32,($N35/'PHEV Worked Example'!$C$32)^(COLUMN('PHEV Worked Example'!$D$31:$M$31)-COLUMN('PHEV Worked Example'!$C$31))))-0)))</f>
        <v>0.55259426579797921</v>
      </c>
    </row>
    <row r="36" spans="14:17" x14ac:dyDescent="0.2">
      <c r="N36">
        <f t="shared" si="0"/>
        <v>145</v>
      </c>
      <c r="O36" s="23" cm="1">
        <f t="array" ref="O36">IF(O$6='PHEV Worked Example'!$B$33,(1-EXP(-SUMPRODUCT('PHEV Worked Example'!$D$33:$M$33,($N36/'PHEV Worked Example'!$C$33)^(COLUMN('PHEV Worked Example'!$D$31:$M$31)-COLUMN('PHEV Worked Example'!$C$31))))-0),
 IF(O$6='PHEV Worked Example'!$B$34,(1-EXP(-SUMPRODUCT('PHEV Worked Example'!$D$34:$M$34,($N36/'PHEV Worked Example'!$C$34)^(COLUMN('PHEV Worked Example'!$D$31:$M$31)-COLUMN('PHEV Worked Example'!$C$31))))-0),
               (1-EXP(-SUMPRODUCT('PHEV Worked Example'!$D$32:$M$32,($N36/'PHEV Worked Example'!$C$32)^(COLUMN('PHEV Worked Example'!$D$31:$M$31)-COLUMN('PHEV Worked Example'!$C$31))))-0)))</f>
        <v>0.94545219554001558</v>
      </c>
      <c r="P36" s="23" cm="1">
        <f t="array" ref="P36">IF(P$6='PHEV Worked Example'!$B$33,(1-EXP(-SUMPRODUCT('PHEV Worked Example'!$D$33:$M$33,($N36/'PHEV Worked Example'!$C$33)^(COLUMN('PHEV Worked Example'!$D$31:$M$31)-COLUMN('PHEV Worked Example'!$C$31))))-0),
 IF(P$6='PHEV Worked Example'!$B$34,(1-EXP(-SUMPRODUCT('PHEV Worked Example'!$D$34:$M$34,($N36/'PHEV Worked Example'!$C$34)^(COLUMN('PHEV Worked Example'!$D$31:$M$31)-COLUMN('PHEV Worked Example'!$C$31))))-0),
               (1-EXP(-SUMPRODUCT('PHEV Worked Example'!$D$32:$M$32,($N36/'PHEV Worked Example'!$C$32)^(COLUMN('PHEV Worked Example'!$D$31:$M$31)-COLUMN('PHEV Worked Example'!$C$31))))-0)))</f>
        <v>0.76918352829517844</v>
      </c>
      <c r="Q36" s="23" cm="1">
        <f t="array" ref="Q36">IF(Q$6='PHEV Worked Example'!$B$33,(1-EXP(-SUMPRODUCT('PHEV Worked Example'!$D$33:$M$33,($N36/'PHEV Worked Example'!$C$33)^(COLUMN('PHEV Worked Example'!$D$31:$M$31)-COLUMN('PHEV Worked Example'!$C$31))))-0),
 IF(Q$6='PHEV Worked Example'!$B$34,(1-EXP(-SUMPRODUCT('PHEV Worked Example'!$D$34:$M$34,($N36/'PHEV Worked Example'!$C$34)^(COLUMN('PHEV Worked Example'!$D$31:$M$31)-COLUMN('PHEV Worked Example'!$C$31))))-0),
               (1-EXP(-SUMPRODUCT('PHEV Worked Example'!$D$32:$M$32,($N36/'PHEV Worked Example'!$C$32)^(COLUMN('PHEV Worked Example'!$D$31:$M$31)-COLUMN('PHEV Worked Example'!$C$31))))-0)))</f>
        <v>0.56414073387336661</v>
      </c>
    </row>
    <row r="37" spans="14:17" x14ac:dyDescent="0.2">
      <c r="N37">
        <f t="shared" si="0"/>
        <v>150</v>
      </c>
      <c r="O37" s="23" cm="1">
        <f t="array" ref="O37">IF(O$6='PHEV Worked Example'!$B$33,(1-EXP(-SUMPRODUCT('PHEV Worked Example'!$D$33:$M$33,($N37/'PHEV Worked Example'!$C$33)^(COLUMN('PHEV Worked Example'!$D$31:$M$31)-COLUMN('PHEV Worked Example'!$C$31))))-0),
 IF(O$6='PHEV Worked Example'!$B$34,(1-EXP(-SUMPRODUCT('PHEV Worked Example'!$D$34:$M$34,($N37/'PHEV Worked Example'!$C$34)^(COLUMN('PHEV Worked Example'!$D$31:$M$31)-COLUMN('PHEV Worked Example'!$C$31))))-0),
               (1-EXP(-SUMPRODUCT('PHEV Worked Example'!$D$32:$M$32,($N37/'PHEV Worked Example'!$C$32)^(COLUMN('PHEV Worked Example'!$D$31:$M$31)-COLUMN('PHEV Worked Example'!$C$31))))-0)))</f>
        <v>0.94848905072830747</v>
      </c>
      <c r="P37" s="23" cm="1">
        <f t="array" ref="P37">IF(P$6='PHEV Worked Example'!$B$33,(1-EXP(-SUMPRODUCT('PHEV Worked Example'!$D$33:$M$33,($N37/'PHEV Worked Example'!$C$33)^(COLUMN('PHEV Worked Example'!$D$31:$M$31)-COLUMN('PHEV Worked Example'!$C$31))))-0),
 IF(P$6='PHEV Worked Example'!$B$34,(1-EXP(-SUMPRODUCT('PHEV Worked Example'!$D$34:$M$34,($N37/'PHEV Worked Example'!$C$34)^(COLUMN('PHEV Worked Example'!$D$31:$M$31)-COLUMN('PHEV Worked Example'!$C$31))))-0),
               (1-EXP(-SUMPRODUCT('PHEV Worked Example'!$D$32:$M$32,($N37/'PHEV Worked Example'!$C$32)^(COLUMN('PHEV Worked Example'!$D$31:$M$31)-COLUMN('PHEV Worked Example'!$C$31))))-0)))</f>
        <v>0.77824041508545994</v>
      </c>
      <c r="Q37" s="23" cm="1">
        <f t="array" ref="Q37">IF(Q$6='PHEV Worked Example'!$B$33,(1-EXP(-SUMPRODUCT('PHEV Worked Example'!$D$33:$M$33,($N37/'PHEV Worked Example'!$C$33)^(COLUMN('PHEV Worked Example'!$D$31:$M$31)-COLUMN('PHEV Worked Example'!$C$31))))-0),
 IF(Q$6='PHEV Worked Example'!$B$34,(1-EXP(-SUMPRODUCT('PHEV Worked Example'!$D$34:$M$34,($N37/'PHEV Worked Example'!$C$34)^(COLUMN('PHEV Worked Example'!$D$31:$M$31)-COLUMN('PHEV Worked Example'!$C$31))))-0),
               (1-EXP(-SUMPRODUCT('PHEV Worked Example'!$D$32:$M$32,($N37/'PHEV Worked Example'!$C$32)^(COLUMN('PHEV Worked Example'!$D$31:$M$31)-COLUMN('PHEV Worked Example'!$C$31))))-0)))</f>
        <v>0.57530652919092762</v>
      </c>
    </row>
    <row r="38" spans="14:17" x14ac:dyDescent="0.2">
      <c r="N38">
        <f t="shared" si="0"/>
        <v>155</v>
      </c>
      <c r="O38" s="23" cm="1">
        <f t="array" ref="O38">IF(O$6='PHEV Worked Example'!$B$33,(1-EXP(-SUMPRODUCT('PHEV Worked Example'!$D$33:$M$33,($N38/'PHEV Worked Example'!$C$33)^(COLUMN('PHEV Worked Example'!$D$31:$M$31)-COLUMN('PHEV Worked Example'!$C$31))))-0),
 IF(O$6='PHEV Worked Example'!$B$34,(1-EXP(-SUMPRODUCT('PHEV Worked Example'!$D$34:$M$34,($N38/'PHEV Worked Example'!$C$34)^(COLUMN('PHEV Worked Example'!$D$31:$M$31)-COLUMN('PHEV Worked Example'!$C$31))))-0),
               (1-EXP(-SUMPRODUCT('PHEV Worked Example'!$D$32:$M$32,($N38/'PHEV Worked Example'!$C$32)^(COLUMN('PHEV Worked Example'!$D$31:$M$31)-COLUMN('PHEV Worked Example'!$C$31))))-0)))</f>
        <v>0.95130154742340634</v>
      </c>
      <c r="P38" s="23" cm="1">
        <f t="array" ref="P38">IF(P$6='PHEV Worked Example'!$B$33,(1-EXP(-SUMPRODUCT('PHEV Worked Example'!$D$33:$M$33,($N38/'PHEV Worked Example'!$C$33)^(COLUMN('PHEV Worked Example'!$D$31:$M$31)-COLUMN('PHEV Worked Example'!$C$31))))-0),
 IF(P$6='PHEV Worked Example'!$B$34,(1-EXP(-SUMPRODUCT('PHEV Worked Example'!$D$34:$M$34,($N38/'PHEV Worked Example'!$C$34)^(COLUMN('PHEV Worked Example'!$D$31:$M$31)-COLUMN('PHEV Worked Example'!$C$31))))-0),
               (1-EXP(-SUMPRODUCT('PHEV Worked Example'!$D$32:$M$32,($N38/'PHEV Worked Example'!$C$32)^(COLUMN('PHEV Worked Example'!$D$31:$M$31)-COLUMN('PHEV Worked Example'!$C$31))))-0)))</f>
        <v>0.78680076398501431</v>
      </c>
      <c r="Q38" s="23" cm="1">
        <f t="array" ref="Q38">IF(Q$6='PHEV Worked Example'!$B$33,(1-EXP(-SUMPRODUCT('PHEV Worked Example'!$D$33:$M$33,($N38/'PHEV Worked Example'!$C$33)^(COLUMN('PHEV Worked Example'!$D$31:$M$31)-COLUMN('PHEV Worked Example'!$C$31))))-0),
 IF(Q$6='PHEV Worked Example'!$B$34,(1-EXP(-SUMPRODUCT('PHEV Worked Example'!$D$34:$M$34,($N38/'PHEV Worked Example'!$C$34)^(COLUMN('PHEV Worked Example'!$D$31:$M$31)-COLUMN('PHEV Worked Example'!$C$31))))-0),
               (1-EXP(-SUMPRODUCT('PHEV Worked Example'!$D$32:$M$32,($N38/'PHEV Worked Example'!$C$32)^(COLUMN('PHEV Worked Example'!$D$31:$M$31)-COLUMN('PHEV Worked Example'!$C$31))))-0)))</f>
        <v>0.58610545625433186</v>
      </c>
    </row>
    <row r="39" spans="14:17" x14ac:dyDescent="0.2">
      <c r="N39">
        <f t="shared" si="0"/>
        <v>160</v>
      </c>
      <c r="O39" s="23" cm="1">
        <f t="array" ref="O39">IF(O$6='PHEV Worked Example'!$B$33,(1-EXP(-SUMPRODUCT('PHEV Worked Example'!$D$33:$M$33,($N39/'PHEV Worked Example'!$C$33)^(COLUMN('PHEV Worked Example'!$D$31:$M$31)-COLUMN('PHEV Worked Example'!$C$31))))-0),
 IF(O$6='PHEV Worked Example'!$B$34,(1-EXP(-SUMPRODUCT('PHEV Worked Example'!$D$34:$M$34,($N39/'PHEV Worked Example'!$C$34)^(COLUMN('PHEV Worked Example'!$D$31:$M$31)-COLUMN('PHEV Worked Example'!$C$31))))-0),
               (1-EXP(-SUMPRODUCT('PHEV Worked Example'!$D$32:$M$32,($N39/'PHEV Worked Example'!$C$32)^(COLUMN('PHEV Worked Example'!$D$31:$M$31)-COLUMN('PHEV Worked Example'!$C$31))))-0)))</f>
        <v>0.9539113104862823</v>
      </c>
      <c r="P39" s="23" cm="1">
        <f t="array" ref="P39">IF(P$6='PHEV Worked Example'!$B$33,(1-EXP(-SUMPRODUCT('PHEV Worked Example'!$D$33:$M$33,($N39/'PHEV Worked Example'!$C$33)^(COLUMN('PHEV Worked Example'!$D$31:$M$31)-COLUMN('PHEV Worked Example'!$C$31))))-0),
 IF(P$6='PHEV Worked Example'!$B$34,(1-EXP(-SUMPRODUCT('PHEV Worked Example'!$D$34:$M$34,($N39/'PHEV Worked Example'!$C$34)^(COLUMN('PHEV Worked Example'!$D$31:$M$31)-COLUMN('PHEV Worked Example'!$C$31))))-0),
               (1-EXP(-SUMPRODUCT('PHEV Worked Example'!$D$32:$M$32,($N39/'PHEV Worked Example'!$C$32)^(COLUMN('PHEV Worked Example'!$D$31:$M$31)-COLUMN('PHEV Worked Example'!$C$31))))-0)))</f>
        <v>0.79489710377594536</v>
      </c>
      <c r="Q39" s="23" cm="1">
        <f t="array" ref="Q39">IF(Q$6='PHEV Worked Example'!$B$33,(1-EXP(-SUMPRODUCT('PHEV Worked Example'!$D$33:$M$33,($N39/'PHEV Worked Example'!$C$33)^(COLUMN('PHEV Worked Example'!$D$31:$M$31)-COLUMN('PHEV Worked Example'!$C$31))))-0),
 IF(Q$6='PHEV Worked Example'!$B$34,(1-EXP(-SUMPRODUCT('PHEV Worked Example'!$D$34:$M$34,($N39/'PHEV Worked Example'!$C$34)^(COLUMN('PHEV Worked Example'!$D$31:$M$31)-COLUMN('PHEV Worked Example'!$C$31))))-0),
               (1-EXP(-SUMPRODUCT('PHEV Worked Example'!$D$32:$M$32,($N39/'PHEV Worked Example'!$C$32)^(COLUMN('PHEV Worked Example'!$D$31:$M$31)-COLUMN('PHEV Worked Example'!$C$31))))-0)))</f>
        <v>0.5965508206669462</v>
      </c>
    </row>
    <row r="40" spans="14:17" x14ac:dyDescent="0.2">
      <c r="N40">
        <f t="shared" si="0"/>
        <v>165</v>
      </c>
      <c r="O40" s="23" cm="1">
        <f t="array" ref="O40">IF(O$6='PHEV Worked Example'!$B$33,(1-EXP(-SUMPRODUCT('PHEV Worked Example'!$D$33:$M$33,($N40/'PHEV Worked Example'!$C$33)^(COLUMN('PHEV Worked Example'!$D$31:$M$31)-COLUMN('PHEV Worked Example'!$C$31))))-0),
 IF(O$6='PHEV Worked Example'!$B$34,(1-EXP(-SUMPRODUCT('PHEV Worked Example'!$D$34:$M$34,($N40/'PHEV Worked Example'!$C$34)^(COLUMN('PHEV Worked Example'!$D$31:$M$31)-COLUMN('PHEV Worked Example'!$C$31))))-0),
               (1-EXP(-SUMPRODUCT('PHEV Worked Example'!$D$32:$M$32,($N40/'PHEV Worked Example'!$C$32)^(COLUMN('PHEV Worked Example'!$D$31:$M$31)-COLUMN('PHEV Worked Example'!$C$31))))-0)))</f>
        <v>0.9563370978191762</v>
      </c>
      <c r="P40" s="23" cm="1">
        <f t="array" ref="P40">IF(P$6='PHEV Worked Example'!$B$33,(1-EXP(-SUMPRODUCT('PHEV Worked Example'!$D$33:$M$33,($N40/'PHEV Worked Example'!$C$33)^(COLUMN('PHEV Worked Example'!$D$31:$M$31)-COLUMN('PHEV Worked Example'!$C$31))))-0),
 IF(P$6='PHEV Worked Example'!$B$34,(1-EXP(-SUMPRODUCT('PHEV Worked Example'!$D$34:$M$34,($N40/'PHEV Worked Example'!$C$34)^(COLUMN('PHEV Worked Example'!$D$31:$M$31)-COLUMN('PHEV Worked Example'!$C$31))))-0),
               (1-EXP(-SUMPRODUCT('PHEV Worked Example'!$D$32:$M$32,($N40/'PHEV Worked Example'!$C$32)^(COLUMN('PHEV Worked Example'!$D$31:$M$31)-COLUMN('PHEV Worked Example'!$C$31))))-0)))</f>
        <v>0.80255964529264501</v>
      </c>
      <c r="Q40" s="23" cm="1">
        <f t="array" ref="Q40">IF(Q$6='PHEV Worked Example'!$B$33,(1-EXP(-SUMPRODUCT('PHEV Worked Example'!$D$33:$M$33,($N40/'PHEV Worked Example'!$C$33)^(COLUMN('PHEV Worked Example'!$D$31:$M$31)-COLUMN('PHEV Worked Example'!$C$31))))-0),
 IF(Q$6='PHEV Worked Example'!$B$34,(1-EXP(-SUMPRODUCT('PHEV Worked Example'!$D$34:$M$34,($N40/'PHEV Worked Example'!$C$34)^(COLUMN('PHEV Worked Example'!$D$31:$M$31)-COLUMN('PHEV Worked Example'!$C$31))))-0),
               (1-EXP(-SUMPRODUCT('PHEV Worked Example'!$D$32:$M$32,($N40/'PHEV Worked Example'!$C$32)^(COLUMN('PHEV Worked Example'!$D$31:$M$31)-COLUMN('PHEV Worked Example'!$C$31))))-0)))</f>
        <v>0.60665544465145238</v>
      </c>
    </row>
    <row r="41" spans="14:17" x14ac:dyDescent="0.2">
      <c r="N41">
        <f t="shared" si="0"/>
        <v>170</v>
      </c>
      <c r="O41" s="23" cm="1">
        <f t="array" ref="O41">IF(O$6='PHEV Worked Example'!$B$33,(1-EXP(-SUMPRODUCT('PHEV Worked Example'!$D$33:$M$33,($N41/'PHEV Worked Example'!$C$33)^(COLUMN('PHEV Worked Example'!$D$31:$M$31)-COLUMN('PHEV Worked Example'!$C$31))))-0),
 IF(O$6='PHEV Worked Example'!$B$34,(1-EXP(-SUMPRODUCT('PHEV Worked Example'!$D$34:$M$34,($N41/'PHEV Worked Example'!$C$34)^(COLUMN('PHEV Worked Example'!$D$31:$M$31)-COLUMN('PHEV Worked Example'!$C$31))))-0),
               (1-EXP(-SUMPRODUCT('PHEV Worked Example'!$D$32:$M$32,($N41/'PHEV Worked Example'!$C$32)^(COLUMN('PHEV Worked Example'!$D$31:$M$31)-COLUMN('PHEV Worked Example'!$C$31))))-0)))</f>
        <v>0.95859526472722834</v>
      </c>
      <c r="P41" s="23" cm="1">
        <f t="array" ref="P41">IF(P$6='PHEV Worked Example'!$B$33,(1-EXP(-SUMPRODUCT('PHEV Worked Example'!$D$33:$M$33,($N41/'PHEV Worked Example'!$C$33)^(COLUMN('PHEV Worked Example'!$D$31:$M$31)-COLUMN('PHEV Worked Example'!$C$31))))-0),
 IF(P$6='PHEV Worked Example'!$B$34,(1-EXP(-SUMPRODUCT('PHEV Worked Example'!$D$34:$M$34,($N41/'PHEV Worked Example'!$C$34)^(COLUMN('PHEV Worked Example'!$D$31:$M$31)-COLUMN('PHEV Worked Example'!$C$31))))-0),
               (1-EXP(-SUMPRODUCT('PHEV Worked Example'!$D$32:$M$32,($N41/'PHEV Worked Example'!$C$32)^(COLUMN('PHEV Worked Example'!$D$31:$M$31)-COLUMN('PHEV Worked Example'!$C$31))))-0)))</f>
        <v>0.80981645244547995</v>
      </c>
      <c r="Q41" s="23" cm="1">
        <f t="array" ref="Q41">IF(Q$6='PHEV Worked Example'!$B$33,(1-EXP(-SUMPRODUCT('PHEV Worked Example'!$D$33:$M$33,($N41/'PHEV Worked Example'!$C$33)^(COLUMN('PHEV Worked Example'!$D$31:$M$31)-COLUMN('PHEV Worked Example'!$C$31))))-0),
 IF(Q$6='PHEV Worked Example'!$B$34,(1-EXP(-SUMPRODUCT('PHEV Worked Example'!$D$34:$M$34,($N41/'PHEV Worked Example'!$C$34)^(COLUMN('PHEV Worked Example'!$D$31:$M$31)-COLUMN('PHEV Worked Example'!$C$31))))-0),
               (1-EXP(-SUMPRODUCT('PHEV Worked Example'!$D$32:$M$32,($N41/'PHEV Worked Example'!$C$32)^(COLUMN('PHEV Worked Example'!$D$31:$M$31)-COLUMN('PHEV Worked Example'!$C$31))))-0)))</f>
        <v>0.6164316823834709</v>
      </c>
    </row>
    <row r="42" spans="14:17" x14ac:dyDescent="0.2">
      <c r="N42">
        <f t="shared" si="0"/>
        <v>175</v>
      </c>
      <c r="O42" s="23" cm="1">
        <f t="array" ref="O42">IF(O$6='PHEV Worked Example'!$B$33,(1-EXP(-SUMPRODUCT('PHEV Worked Example'!$D$33:$M$33,($N42/'PHEV Worked Example'!$C$33)^(COLUMN('PHEV Worked Example'!$D$31:$M$31)-COLUMN('PHEV Worked Example'!$C$31))))-0),
 IF(O$6='PHEV Worked Example'!$B$34,(1-EXP(-SUMPRODUCT('PHEV Worked Example'!$D$34:$M$34,($N42/'PHEV Worked Example'!$C$34)^(COLUMN('PHEV Worked Example'!$D$31:$M$31)-COLUMN('PHEV Worked Example'!$C$31))))-0),
               (1-EXP(-SUMPRODUCT('PHEV Worked Example'!$D$32:$M$32,($N42/'PHEV Worked Example'!$C$32)^(COLUMN('PHEV Worked Example'!$D$31:$M$31)-COLUMN('PHEV Worked Example'!$C$31))))-0)))</f>
        <v>0.96070015040265822</v>
      </c>
      <c r="P42" s="23" cm="1">
        <f t="array" ref="P42">IF(P$6='PHEV Worked Example'!$B$33,(1-EXP(-SUMPRODUCT('PHEV Worked Example'!$D$33:$M$33,($N42/'PHEV Worked Example'!$C$33)^(COLUMN('PHEV Worked Example'!$D$31:$M$31)-COLUMN('PHEV Worked Example'!$C$31))))-0),
 IF(P$6='PHEV Worked Example'!$B$34,(1-EXP(-SUMPRODUCT('PHEV Worked Example'!$D$34:$M$34,($N42/'PHEV Worked Example'!$C$34)^(COLUMN('PHEV Worked Example'!$D$31:$M$31)-COLUMN('PHEV Worked Example'!$C$31))))-0),
               (1-EXP(-SUMPRODUCT('PHEV Worked Example'!$D$32:$M$32,($N42/'PHEV Worked Example'!$C$32)^(COLUMN('PHEV Worked Example'!$D$31:$M$31)-COLUMN('PHEV Worked Example'!$C$31))))-0)))</f>
        <v>0.81669360086102971</v>
      </c>
      <c r="Q42" s="23" cm="1">
        <f t="array" ref="Q42">IF(Q$6='PHEV Worked Example'!$B$33,(1-EXP(-SUMPRODUCT('PHEV Worked Example'!$D$33:$M$33,($N42/'PHEV Worked Example'!$C$33)^(COLUMN('PHEV Worked Example'!$D$31:$M$31)-COLUMN('PHEV Worked Example'!$C$31))))-0),
 IF(Q$6='PHEV Worked Example'!$B$34,(1-EXP(-SUMPRODUCT('PHEV Worked Example'!$D$34:$M$34,($N42/'PHEV Worked Example'!$C$34)^(COLUMN('PHEV Worked Example'!$D$31:$M$31)-COLUMN('PHEV Worked Example'!$C$31))))-0),
               (1-EXP(-SUMPRODUCT('PHEV Worked Example'!$D$32:$M$32,($N42/'PHEV Worked Example'!$C$32)^(COLUMN('PHEV Worked Example'!$D$31:$M$31)-COLUMN('PHEV Worked Example'!$C$31))))-0)))</f>
        <v>0.62589143510685474</v>
      </c>
    </row>
    <row r="43" spans="14:17" x14ac:dyDescent="0.2">
      <c r="N43">
        <f t="shared" si="0"/>
        <v>180</v>
      </c>
      <c r="O43" s="23" cm="1">
        <f t="array" ref="O43">IF(O$6='PHEV Worked Example'!$B$33,(1-EXP(-SUMPRODUCT('PHEV Worked Example'!$D$33:$M$33,($N43/'PHEV Worked Example'!$C$33)^(COLUMN('PHEV Worked Example'!$D$31:$M$31)-COLUMN('PHEV Worked Example'!$C$31))))-0),
 IF(O$6='PHEV Worked Example'!$B$34,(1-EXP(-SUMPRODUCT('PHEV Worked Example'!$D$34:$M$34,($N43/'PHEV Worked Example'!$C$34)^(COLUMN('PHEV Worked Example'!$D$31:$M$31)-COLUMN('PHEV Worked Example'!$C$31))))-0),
               (1-EXP(-SUMPRODUCT('PHEV Worked Example'!$D$32:$M$32,($N43/'PHEV Worked Example'!$C$32)^(COLUMN('PHEV Worked Example'!$D$31:$M$31)-COLUMN('PHEV Worked Example'!$C$31))))-0)))</f>
        <v>0.96266439952480676</v>
      </c>
      <c r="P43" s="23" cm="1">
        <f t="array" ref="P43">IF(P$6='PHEV Worked Example'!$B$33,(1-EXP(-SUMPRODUCT('PHEV Worked Example'!$D$33:$M$33,($N43/'PHEV Worked Example'!$C$33)^(COLUMN('PHEV Worked Example'!$D$31:$M$31)-COLUMN('PHEV Worked Example'!$C$31))))-0),
 IF(P$6='PHEV Worked Example'!$B$34,(1-EXP(-SUMPRODUCT('PHEV Worked Example'!$D$34:$M$34,($N43/'PHEV Worked Example'!$C$34)^(COLUMN('PHEV Worked Example'!$D$31:$M$31)-COLUMN('PHEV Worked Example'!$C$31))))-0),
               (1-EXP(-SUMPRODUCT('PHEV Worked Example'!$D$32:$M$32,($N43/'PHEV Worked Example'!$C$32)^(COLUMN('PHEV Worked Example'!$D$31:$M$31)-COLUMN('PHEV Worked Example'!$C$31))))-0)))</f>
        <v>0.82321532491857874</v>
      </c>
      <c r="Q43" s="23" cm="1">
        <f t="array" ref="Q43">IF(Q$6='PHEV Worked Example'!$B$33,(1-EXP(-SUMPRODUCT('PHEV Worked Example'!$D$33:$M$33,($N43/'PHEV Worked Example'!$C$33)^(COLUMN('PHEV Worked Example'!$D$31:$M$31)-COLUMN('PHEV Worked Example'!$C$31))))-0),
 IF(Q$6='PHEV Worked Example'!$B$34,(1-EXP(-SUMPRODUCT('PHEV Worked Example'!$D$34:$M$34,($N43/'PHEV Worked Example'!$C$34)^(COLUMN('PHEV Worked Example'!$D$31:$M$31)-COLUMN('PHEV Worked Example'!$C$31))))-0),
               (1-EXP(-SUMPRODUCT('PHEV Worked Example'!$D$32:$M$32,($N43/'PHEV Worked Example'!$C$32)^(COLUMN('PHEV Worked Example'!$D$31:$M$31)-COLUMN('PHEV Worked Example'!$C$31))))-0)))</f>
        <v>0.63504616600291408</v>
      </c>
    </row>
    <row r="44" spans="14:17" x14ac:dyDescent="0.2">
      <c r="N44">
        <f t="shared" si="0"/>
        <v>185</v>
      </c>
      <c r="O44" s="23" cm="1">
        <f t="array" ref="O44">IF(O$6='PHEV Worked Example'!$B$33,(1-EXP(-SUMPRODUCT('PHEV Worked Example'!$D$33:$M$33,($N44/'PHEV Worked Example'!$C$33)^(COLUMN('PHEV Worked Example'!$D$31:$M$31)-COLUMN('PHEV Worked Example'!$C$31))))-0),
 IF(O$6='PHEV Worked Example'!$B$34,(1-EXP(-SUMPRODUCT('PHEV Worked Example'!$D$34:$M$34,($N44/'PHEV Worked Example'!$C$34)^(COLUMN('PHEV Worked Example'!$D$31:$M$31)-COLUMN('PHEV Worked Example'!$C$31))))-0),
               (1-EXP(-SUMPRODUCT('PHEV Worked Example'!$D$32:$M$32,($N44/'PHEV Worked Example'!$C$32)^(COLUMN('PHEV Worked Example'!$D$31:$M$31)-COLUMN('PHEV Worked Example'!$C$31))))-0)))</f>
        <v>0.96449922970193358</v>
      </c>
      <c r="P44" s="23" cm="1">
        <f t="array" ref="P44">IF(P$6='PHEV Worked Example'!$B$33,(1-EXP(-SUMPRODUCT('PHEV Worked Example'!$D$33:$M$33,($N44/'PHEV Worked Example'!$C$33)^(COLUMN('PHEV Worked Example'!$D$31:$M$31)-COLUMN('PHEV Worked Example'!$C$31))))-0),
 IF(P$6='PHEV Worked Example'!$B$34,(1-EXP(-SUMPRODUCT('PHEV Worked Example'!$D$34:$M$34,($N44/'PHEV Worked Example'!$C$34)^(COLUMN('PHEV Worked Example'!$D$31:$M$31)-COLUMN('PHEV Worked Example'!$C$31))))-0),
               (1-EXP(-SUMPRODUCT('PHEV Worked Example'!$D$32:$M$32,($N44/'PHEV Worked Example'!$C$32)^(COLUMN('PHEV Worked Example'!$D$31:$M$31)-COLUMN('PHEV Worked Example'!$C$31))))-0)))</f>
        <v>0.82940415393892764</v>
      </c>
      <c r="Q44" s="23" cm="1">
        <f t="array" ref="Q44">IF(Q$6='PHEV Worked Example'!$B$33,(1-EXP(-SUMPRODUCT('PHEV Worked Example'!$D$33:$M$33,($N44/'PHEV Worked Example'!$C$33)^(COLUMN('PHEV Worked Example'!$D$31:$M$31)-COLUMN('PHEV Worked Example'!$C$31))))-0),
 IF(Q$6='PHEV Worked Example'!$B$34,(1-EXP(-SUMPRODUCT('PHEV Worked Example'!$D$34:$M$34,($N44/'PHEV Worked Example'!$C$34)^(COLUMN('PHEV Worked Example'!$D$31:$M$31)-COLUMN('PHEV Worked Example'!$C$31))))-0),
               (1-EXP(-SUMPRODUCT('PHEV Worked Example'!$D$32:$M$32,($N44/'PHEV Worked Example'!$C$32)^(COLUMN('PHEV Worked Example'!$D$31:$M$31)-COLUMN('PHEV Worked Example'!$C$31))))-0)))</f>
        <v>0.64390691478998885</v>
      </c>
    </row>
    <row r="45" spans="14:17" x14ac:dyDescent="0.2">
      <c r="N45">
        <f t="shared" si="0"/>
        <v>190</v>
      </c>
      <c r="O45" s="23" cm="1">
        <f t="array" ref="O45">IF(O$6='PHEV Worked Example'!$B$33,(1-EXP(-SUMPRODUCT('PHEV Worked Example'!$D$33:$M$33,($N45/'PHEV Worked Example'!$C$33)^(COLUMN('PHEV Worked Example'!$D$31:$M$31)-COLUMN('PHEV Worked Example'!$C$31))))-0),
 IF(O$6='PHEV Worked Example'!$B$34,(1-EXP(-SUMPRODUCT('PHEV Worked Example'!$D$34:$M$34,($N45/'PHEV Worked Example'!$C$34)^(COLUMN('PHEV Worked Example'!$D$31:$M$31)-COLUMN('PHEV Worked Example'!$C$31))))-0),
               (1-EXP(-SUMPRODUCT('PHEV Worked Example'!$D$32:$M$32,($N45/'PHEV Worked Example'!$C$32)^(COLUMN('PHEV Worked Example'!$D$31:$M$31)-COLUMN('PHEV Worked Example'!$C$31))))-0)))</f>
        <v>0.96621465365994963</v>
      </c>
      <c r="P45" s="23" cm="1">
        <f t="array" ref="P45">IF(P$6='PHEV Worked Example'!$B$33,(1-EXP(-SUMPRODUCT('PHEV Worked Example'!$D$33:$M$33,($N45/'PHEV Worked Example'!$C$33)^(COLUMN('PHEV Worked Example'!$D$31:$M$31)-COLUMN('PHEV Worked Example'!$C$31))))-0),
 IF(P$6='PHEV Worked Example'!$B$34,(1-EXP(-SUMPRODUCT('PHEV Worked Example'!$D$34:$M$34,($N45/'PHEV Worked Example'!$C$34)^(COLUMN('PHEV Worked Example'!$D$31:$M$31)-COLUMN('PHEV Worked Example'!$C$31))))-0),
               (1-EXP(-SUMPRODUCT('PHEV Worked Example'!$D$32:$M$32,($N45/'PHEV Worked Example'!$C$32)^(COLUMN('PHEV Worked Example'!$D$31:$M$31)-COLUMN('PHEV Worked Example'!$C$31))))-0)))</f>
        <v>0.83528103825309119</v>
      </c>
      <c r="Q45" s="23" cm="1">
        <f t="array" ref="Q45">IF(Q$6='PHEV Worked Example'!$B$33,(1-EXP(-SUMPRODUCT('PHEV Worked Example'!$D$33:$M$33,($N45/'PHEV Worked Example'!$C$33)^(COLUMN('PHEV Worked Example'!$D$31:$M$31)-COLUMN('PHEV Worked Example'!$C$31))))-0),
 IF(Q$6='PHEV Worked Example'!$B$34,(1-EXP(-SUMPRODUCT('PHEV Worked Example'!$D$34:$M$34,($N45/'PHEV Worked Example'!$C$34)^(COLUMN('PHEV Worked Example'!$D$31:$M$31)-COLUMN('PHEV Worked Example'!$C$31))))-0),
               (1-EXP(-SUMPRODUCT('PHEV Worked Example'!$D$32:$M$32,($N45/'PHEV Worked Example'!$C$32)^(COLUMN('PHEV Worked Example'!$D$31:$M$31)-COLUMN('PHEV Worked Example'!$C$31))))-0)))</f>
        <v>0.65248431203356039</v>
      </c>
    </row>
    <row r="46" spans="14:17" x14ac:dyDescent="0.2">
      <c r="N46">
        <f t="shared" si="0"/>
        <v>195</v>
      </c>
      <c r="O46" s="23" cm="1">
        <f t="array" ref="O46">IF(O$6='PHEV Worked Example'!$B$33,(1-EXP(-SUMPRODUCT('PHEV Worked Example'!$D$33:$M$33,($N46/'PHEV Worked Example'!$C$33)^(COLUMN('PHEV Worked Example'!$D$31:$M$31)-COLUMN('PHEV Worked Example'!$C$31))))-0),
 IF(O$6='PHEV Worked Example'!$B$34,(1-EXP(-SUMPRODUCT('PHEV Worked Example'!$D$34:$M$34,($N46/'PHEV Worked Example'!$C$34)^(COLUMN('PHEV Worked Example'!$D$31:$M$31)-COLUMN('PHEV Worked Example'!$C$31))))-0),
               (1-EXP(-SUMPRODUCT('PHEV Worked Example'!$D$32:$M$32,($N46/'PHEV Worked Example'!$C$32)^(COLUMN('PHEV Worked Example'!$D$31:$M$31)-COLUMN('PHEV Worked Example'!$C$31))))-0)))</f>
        <v>0.96781966360978733</v>
      </c>
      <c r="P46" s="23" cm="1">
        <f t="array" ref="P46">IF(P$6='PHEV Worked Example'!$B$33,(1-EXP(-SUMPRODUCT('PHEV Worked Example'!$D$33:$M$33,($N46/'PHEV Worked Example'!$C$33)^(COLUMN('PHEV Worked Example'!$D$31:$M$31)-COLUMN('PHEV Worked Example'!$C$31))))-0),
 IF(P$6='PHEV Worked Example'!$B$34,(1-EXP(-SUMPRODUCT('PHEV Worked Example'!$D$34:$M$34,($N46/'PHEV Worked Example'!$C$34)^(COLUMN('PHEV Worked Example'!$D$31:$M$31)-COLUMN('PHEV Worked Example'!$C$31))))-0),
               (1-EXP(-SUMPRODUCT('PHEV Worked Example'!$D$32:$M$32,($N46/'PHEV Worked Example'!$C$32)^(COLUMN('PHEV Worked Example'!$D$31:$M$31)-COLUMN('PHEV Worked Example'!$C$31))))-0)))</f>
        <v>0.84086546584656918</v>
      </c>
      <c r="Q46" s="23" cm="1">
        <f t="array" ref="Q46">IF(Q$6='PHEV Worked Example'!$B$33,(1-EXP(-SUMPRODUCT('PHEV Worked Example'!$D$33:$M$33,($N46/'PHEV Worked Example'!$C$33)^(COLUMN('PHEV Worked Example'!$D$31:$M$31)-COLUMN('PHEV Worked Example'!$C$31))))-0),
 IF(Q$6='PHEV Worked Example'!$B$34,(1-EXP(-SUMPRODUCT('PHEV Worked Example'!$D$34:$M$34,($N46/'PHEV Worked Example'!$C$34)^(COLUMN('PHEV Worked Example'!$D$31:$M$31)-COLUMN('PHEV Worked Example'!$C$31))))-0),
               (1-EXP(-SUMPRODUCT('PHEV Worked Example'!$D$32:$M$32,($N46/'PHEV Worked Example'!$C$32)^(COLUMN('PHEV Worked Example'!$D$31:$M$31)-COLUMN('PHEV Worked Example'!$C$31))))-0)))</f>
        <v>0.66078859315049687</v>
      </c>
    </row>
    <row r="47" spans="14:17" x14ac:dyDescent="0.2">
      <c r="N47">
        <f t="shared" si="0"/>
        <v>200</v>
      </c>
      <c r="O47" s="23" cm="1">
        <f t="array" ref="O47">IF(O$6='PHEV Worked Example'!$B$33,(1-EXP(-SUMPRODUCT('PHEV Worked Example'!$D$33:$M$33,($N47/'PHEV Worked Example'!$C$33)^(COLUMN('PHEV Worked Example'!$D$31:$M$31)-COLUMN('PHEV Worked Example'!$C$31))))-0),
 IF(O$6='PHEV Worked Example'!$B$34,(1-EXP(-SUMPRODUCT('PHEV Worked Example'!$D$34:$M$34,($N47/'PHEV Worked Example'!$C$34)^(COLUMN('PHEV Worked Example'!$D$31:$M$31)-COLUMN('PHEV Worked Example'!$C$31))))-0),
               (1-EXP(-SUMPRODUCT('PHEV Worked Example'!$D$32:$M$32,($N47/'PHEV Worked Example'!$C$32)^(COLUMN('PHEV Worked Example'!$D$31:$M$31)-COLUMN('PHEV Worked Example'!$C$31))))-0)))</f>
        <v>0.96932238402203763</v>
      </c>
      <c r="P47" s="23" cm="1">
        <f t="array" ref="P47">IF(P$6='PHEV Worked Example'!$B$33,(1-EXP(-SUMPRODUCT('PHEV Worked Example'!$D$33:$M$33,($N47/'PHEV Worked Example'!$C$33)^(COLUMN('PHEV Worked Example'!$D$31:$M$31)-COLUMN('PHEV Worked Example'!$C$31))))-0),
 IF(P$6='PHEV Worked Example'!$B$34,(1-EXP(-SUMPRODUCT('PHEV Worked Example'!$D$34:$M$34,($N47/'PHEV Worked Example'!$C$34)^(COLUMN('PHEV Worked Example'!$D$31:$M$31)-COLUMN('PHEV Worked Example'!$C$31))))-0),
               (1-EXP(-SUMPRODUCT('PHEV Worked Example'!$D$32:$M$32,($N47/'PHEV Worked Example'!$C$32)^(COLUMN('PHEV Worked Example'!$D$31:$M$31)-COLUMN('PHEV Worked Example'!$C$31))))-0)))</f>
        <v>0.84617557024084722</v>
      </c>
      <c r="Q47" s="23" cm="1">
        <f t="array" ref="Q47">IF(Q$6='PHEV Worked Example'!$B$33,(1-EXP(-SUMPRODUCT('PHEV Worked Example'!$D$33:$M$33,($N47/'PHEV Worked Example'!$C$33)^(COLUMN('PHEV Worked Example'!$D$31:$M$31)-COLUMN('PHEV Worked Example'!$C$31))))-0),
 IF(Q$6='PHEV Worked Example'!$B$34,(1-EXP(-SUMPRODUCT('PHEV Worked Example'!$D$34:$M$34,($N47/'PHEV Worked Example'!$C$34)^(COLUMN('PHEV Worked Example'!$D$31:$M$31)-COLUMN('PHEV Worked Example'!$C$31))))-0),
               (1-EXP(-SUMPRODUCT('PHEV Worked Example'!$D$32:$M$32,($N47/'PHEV Worked Example'!$C$32)^(COLUMN('PHEV Worked Example'!$D$31:$M$31)-COLUMN('PHEV Worked Example'!$C$31))))-0)))</f>
        <v>0.66882961209409242</v>
      </c>
    </row>
    <row r="48" spans="14:17" x14ac:dyDescent="0.2">
      <c r="N48">
        <f t="shared" si="0"/>
        <v>205</v>
      </c>
      <c r="O48" s="23" cm="1">
        <f t="array" ref="O48">IF(O$6='PHEV Worked Example'!$B$33,(1-EXP(-SUMPRODUCT('PHEV Worked Example'!$D$33:$M$33,($N48/'PHEV Worked Example'!$C$33)^(COLUMN('PHEV Worked Example'!$D$31:$M$31)-COLUMN('PHEV Worked Example'!$C$31))))-0),
 IF(O$6='PHEV Worked Example'!$B$34,(1-EXP(-SUMPRODUCT('PHEV Worked Example'!$D$34:$M$34,($N48/'PHEV Worked Example'!$C$34)^(COLUMN('PHEV Worked Example'!$D$31:$M$31)-COLUMN('PHEV Worked Example'!$C$31))))-0),
               (1-EXP(-SUMPRODUCT('PHEV Worked Example'!$D$32:$M$32,($N48/'PHEV Worked Example'!$C$32)^(COLUMN('PHEV Worked Example'!$D$31:$M$31)-COLUMN('PHEV Worked Example'!$C$31))))-0)))</f>
        <v>0.97073019804592664</v>
      </c>
      <c r="P48" s="23" cm="1">
        <f t="array" ref="P48">IF(P$6='PHEV Worked Example'!$B$33,(1-EXP(-SUMPRODUCT('PHEV Worked Example'!$D$33:$M$33,($N48/'PHEV Worked Example'!$C$33)^(COLUMN('PHEV Worked Example'!$D$31:$M$31)-COLUMN('PHEV Worked Example'!$C$31))))-0),
 IF(P$6='PHEV Worked Example'!$B$34,(1-EXP(-SUMPRODUCT('PHEV Worked Example'!$D$34:$M$34,($N48/'PHEV Worked Example'!$C$34)^(COLUMN('PHEV Worked Example'!$D$31:$M$31)-COLUMN('PHEV Worked Example'!$C$31))))-0),
               (1-EXP(-SUMPRODUCT('PHEV Worked Example'!$D$32:$M$32,($N48/'PHEV Worked Example'!$C$32)^(COLUMN('PHEV Worked Example'!$D$31:$M$31)-COLUMN('PHEV Worked Example'!$C$31))))-0)))</f>
        <v>0.85122823023853544</v>
      </c>
      <c r="Q48" s="23" cm="1">
        <f t="array" ref="Q48">IF(Q$6='PHEV Worked Example'!$B$33,(1-EXP(-SUMPRODUCT('PHEV Worked Example'!$D$33:$M$33,($N48/'PHEV Worked Example'!$C$33)^(COLUMN('PHEV Worked Example'!$D$31:$M$31)-COLUMN('PHEV Worked Example'!$C$31))))-0),
 IF(Q$6='PHEV Worked Example'!$B$34,(1-EXP(-SUMPRODUCT('PHEV Worked Example'!$D$34:$M$34,($N48/'PHEV Worked Example'!$C$34)^(COLUMN('PHEV Worked Example'!$D$31:$M$31)-COLUMN('PHEV Worked Example'!$C$31))))-0),
               (1-EXP(-SUMPRODUCT('PHEV Worked Example'!$D$32:$M$32,($N48/'PHEV Worked Example'!$C$32)^(COLUMN('PHEV Worked Example'!$D$31:$M$31)-COLUMN('PHEV Worked Example'!$C$31))))-0)))</f>
        <v>0.67661685470931898</v>
      </c>
    </row>
    <row r="49" spans="14:17" x14ac:dyDescent="0.2">
      <c r="N49">
        <f t="shared" si="0"/>
        <v>210</v>
      </c>
      <c r="O49" s="23" cm="1">
        <f t="array" ref="O49">IF(O$6='PHEV Worked Example'!$B$33,(1-EXP(-SUMPRODUCT('PHEV Worked Example'!$D$33:$M$33,($N49/'PHEV Worked Example'!$C$33)^(COLUMN('PHEV Worked Example'!$D$31:$M$31)-COLUMN('PHEV Worked Example'!$C$31))))-0),
 IF(O$6='PHEV Worked Example'!$B$34,(1-EXP(-SUMPRODUCT('PHEV Worked Example'!$D$34:$M$34,($N49/'PHEV Worked Example'!$C$34)^(COLUMN('PHEV Worked Example'!$D$31:$M$31)-COLUMN('PHEV Worked Example'!$C$31))))-0),
               (1-EXP(-SUMPRODUCT('PHEV Worked Example'!$D$32:$M$32,($N49/'PHEV Worked Example'!$C$32)^(COLUMN('PHEV Worked Example'!$D$31:$M$31)-COLUMN('PHEV Worked Example'!$C$31))))-0)))</f>
        <v>0.97204985198470917</v>
      </c>
      <c r="P49" s="23" cm="1">
        <f t="array" ref="P49">IF(P$6='PHEV Worked Example'!$B$33,(1-EXP(-SUMPRODUCT('PHEV Worked Example'!$D$33:$M$33,($N49/'PHEV Worked Example'!$C$33)^(COLUMN('PHEV Worked Example'!$D$31:$M$31)-COLUMN('PHEV Worked Example'!$C$31))))-0),
 IF(P$6='PHEV Worked Example'!$B$34,(1-EXP(-SUMPRODUCT('PHEV Worked Example'!$D$34:$M$34,($N49/'PHEV Worked Example'!$C$34)^(COLUMN('PHEV Worked Example'!$D$31:$M$31)-COLUMN('PHEV Worked Example'!$C$31))))-0),
               (1-EXP(-SUMPRODUCT('PHEV Worked Example'!$D$32:$M$32,($N49/'PHEV Worked Example'!$C$32)^(COLUMN('PHEV Worked Example'!$D$31:$M$31)-COLUMN('PHEV Worked Example'!$C$31))))-0)))</f>
        <v>0.85603916212287567</v>
      </c>
      <c r="Q49" s="23" cm="1">
        <f t="array" ref="Q49">IF(Q$6='PHEV Worked Example'!$B$33,(1-EXP(-SUMPRODUCT('PHEV Worked Example'!$D$33:$M$33,($N49/'PHEV Worked Example'!$C$33)^(COLUMN('PHEV Worked Example'!$D$31:$M$31)-COLUMN('PHEV Worked Example'!$C$31))))-0),
 IF(Q$6='PHEV Worked Example'!$B$34,(1-EXP(-SUMPRODUCT('PHEV Worked Example'!$D$34:$M$34,($N49/'PHEV Worked Example'!$C$34)^(COLUMN('PHEV Worked Example'!$D$31:$M$31)-COLUMN('PHEV Worked Example'!$C$31))))-0),
               (1-EXP(-SUMPRODUCT('PHEV Worked Example'!$D$32:$M$32,($N49/'PHEV Worked Example'!$C$32)^(COLUMN('PHEV Worked Example'!$D$31:$M$31)-COLUMN('PHEV Worked Example'!$C$31))))-0)))</f>
        <v>0.68415945175018344</v>
      </c>
    </row>
    <row r="50" spans="14:17" x14ac:dyDescent="0.2">
      <c r="N50">
        <f t="shared" si="0"/>
        <v>215</v>
      </c>
      <c r="O50" s="23" cm="1">
        <f t="array" ref="O50">IF(O$6='PHEV Worked Example'!$B$33,(1-EXP(-SUMPRODUCT('PHEV Worked Example'!$D$33:$M$33,($N50/'PHEV Worked Example'!$C$33)^(COLUMN('PHEV Worked Example'!$D$31:$M$31)-COLUMN('PHEV Worked Example'!$C$31))))-0),
 IF(O$6='PHEV Worked Example'!$B$34,(1-EXP(-SUMPRODUCT('PHEV Worked Example'!$D$34:$M$34,($N50/'PHEV Worked Example'!$C$34)^(COLUMN('PHEV Worked Example'!$D$31:$M$31)-COLUMN('PHEV Worked Example'!$C$31))))-0),
               (1-EXP(-SUMPRODUCT('PHEV Worked Example'!$D$32:$M$32,($N50/'PHEV Worked Example'!$C$32)^(COLUMN('PHEV Worked Example'!$D$31:$M$31)-COLUMN('PHEV Worked Example'!$C$31))))-0)))</f>
        <v>0.97328754154713315</v>
      </c>
      <c r="P50" s="23" cm="1">
        <f t="array" ref="P50">IF(P$6='PHEV Worked Example'!$B$33,(1-EXP(-SUMPRODUCT('PHEV Worked Example'!$D$33:$M$33,($N50/'PHEV Worked Example'!$C$33)^(COLUMN('PHEV Worked Example'!$D$31:$M$31)-COLUMN('PHEV Worked Example'!$C$31))))-0),
 IF(P$6='PHEV Worked Example'!$B$34,(1-EXP(-SUMPRODUCT('PHEV Worked Example'!$D$34:$M$34,($N50/'PHEV Worked Example'!$C$34)^(COLUMN('PHEV Worked Example'!$D$31:$M$31)-COLUMN('PHEV Worked Example'!$C$31))))-0),
               (1-EXP(-SUMPRODUCT('PHEV Worked Example'!$D$32:$M$32,($N50/'PHEV Worked Example'!$C$32)^(COLUMN('PHEV Worked Example'!$D$31:$M$31)-COLUMN('PHEV Worked Example'!$C$31))))-0)))</f>
        <v>0.86062300486681231</v>
      </c>
      <c r="Q50" s="23" cm="1">
        <f t="array" ref="Q50">IF(Q$6='PHEV Worked Example'!$B$33,(1-EXP(-SUMPRODUCT('PHEV Worked Example'!$D$33:$M$33,($N50/'PHEV Worked Example'!$C$33)^(COLUMN('PHEV Worked Example'!$D$31:$M$31)-COLUMN('PHEV Worked Example'!$C$31))))-0),
 IF(Q$6='PHEV Worked Example'!$B$34,(1-EXP(-SUMPRODUCT('PHEV Worked Example'!$D$34:$M$34,($N50/'PHEV Worked Example'!$C$34)^(COLUMN('PHEV Worked Example'!$D$31:$M$31)-COLUMN('PHEV Worked Example'!$C$31))))-0),
               (1-EXP(-SUMPRODUCT('PHEV Worked Example'!$D$32:$M$32,($N50/'PHEV Worked Example'!$C$32)^(COLUMN('PHEV Worked Example'!$D$31:$M$31)-COLUMN('PHEV Worked Example'!$C$31))))-0)))</f>
        <v>0.69146619155329203</v>
      </c>
    </row>
    <row r="51" spans="14:17" x14ac:dyDescent="0.2">
      <c r="N51">
        <f t="shared" si="0"/>
        <v>220</v>
      </c>
      <c r="O51" s="23" cm="1">
        <f t="array" ref="O51">IF(O$6='PHEV Worked Example'!$B$33,(1-EXP(-SUMPRODUCT('PHEV Worked Example'!$D$33:$M$33,($N51/'PHEV Worked Example'!$C$33)^(COLUMN('PHEV Worked Example'!$D$31:$M$31)-COLUMN('PHEV Worked Example'!$C$31))))-0),
 IF(O$6='PHEV Worked Example'!$B$34,(1-EXP(-SUMPRODUCT('PHEV Worked Example'!$D$34:$M$34,($N51/'PHEV Worked Example'!$C$34)^(COLUMN('PHEV Worked Example'!$D$31:$M$31)-COLUMN('PHEV Worked Example'!$C$31))))-0),
               (1-EXP(-SUMPRODUCT('PHEV Worked Example'!$D$32:$M$32,($N51/'PHEV Worked Example'!$C$32)^(COLUMN('PHEV Worked Example'!$D$31:$M$31)-COLUMN('PHEV Worked Example'!$C$31))))-0)))</f>
        <v>0.97444898300898575</v>
      </c>
      <c r="P51" s="23" cm="1">
        <f t="array" ref="P51">IF(P$6='PHEV Worked Example'!$B$33,(1-EXP(-SUMPRODUCT('PHEV Worked Example'!$D$33:$M$33,($N51/'PHEV Worked Example'!$C$33)^(COLUMN('PHEV Worked Example'!$D$31:$M$31)-COLUMN('PHEV Worked Example'!$C$31))))-0),
 IF(P$6='PHEV Worked Example'!$B$34,(1-EXP(-SUMPRODUCT('PHEV Worked Example'!$D$34:$M$34,($N51/'PHEV Worked Example'!$C$34)^(COLUMN('PHEV Worked Example'!$D$31:$M$31)-COLUMN('PHEV Worked Example'!$C$31))))-0),
               (1-EXP(-SUMPRODUCT('PHEV Worked Example'!$D$32:$M$32,($N51/'PHEV Worked Example'!$C$32)^(COLUMN('PHEV Worked Example'!$D$31:$M$31)-COLUMN('PHEV Worked Example'!$C$31))))-0)))</f>
        <v>0.86499339887190629</v>
      </c>
      <c r="Q51" s="23" cm="1">
        <f t="array" ref="Q51">IF(Q$6='PHEV Worked Example'!$B$33,(1-EXP(-SUMPRODUCT('PHEV Worked Example'!$D$33:$M$33,($N51/'PHEV Worked Example'!$C$33)^(COLUMN('PHEV Worked Example'!$D$31:$M$31)-COLUMN('PHEV Worked Example'!$C$31))))-0),
 IF(Q$6='PHEV Worked Example'!$B$34,(1-EXP(-SUMPRODUCT('PHEV Worked Example'!$D$34:$M$34,($N51/'PHEV Worked Example'!$C$34)^(COLUMN('PHEV Worked Example'!$D$31:$M$31)-COLUMN('PHEV Worked Example'!$C$31))))-0),
               (1-EXP(-SUMPRODUCT('PHEV Worked Example'!$D$32:$M$32,($N51/'PHEV Worked Example'!$C$32)^(COLUMN('PHEV Worked Example'!$D$31:$M$31)-COLUMN('PHEV Worked Example'!$C$31))))-0)))</f>
        <v>0.69854553236369732</v>
      </c>
    </row>
    <row r="52" spans="14:17" x14ac:dyDescent="0.2">
      <c r="N52">
        <f t="shared" si="0"/>
        <v>225</v>
      </c>
      <c r="O52" s="23" cm="1">
        <f t="array" ref="O52">IF(O$6='PHEV Worked Example'!$B$33,(1-EXP(-SUMPRODUCT('PHEV Worked Example'!$D$33:$M$33,($N52/'PHEV Worked Example'!$C$33)^(COLUMN('PHEV Worked Example'!$D$31:$M$31)-COLUMN('PHEV Worked Example'!$C$31))))-0),
 IF(O$6='PHEV Worked Example'!$B$34,(1-EXP(-SUMPRODUCT('PHEV Worked Example'!$D$34:$M$34,($N52/'PHEV Worked Example'!$C$34)^(COLUMN('PHEV Worked Example'!$D$31:$M$31)-COLUMN('PHEV Worked Example'!$C$31))))-0),
               (1-EXP(-SUMPRODUCT('PHEV Worked Example'!$D$32:$M$32,($N52/'PHEV Worked Example'!$C$32)^(COLUMN('PHEV Worked Example'!$D$31:$M$31)-COLUMN('PHEV Worked Example'!$C$31))))-0)))</f>
        <v>0.97553947192051327</v>
      </c>
      <c r="P52" s="23" cm="1">
        <f t="array" ref="P52">IF(P$6='PHEV Worked Example'!$B$33,(1-EXP(-SUMPRODUCT('PHEV Worked Example'!$D$33:$M$33,($N52/'PHEV Worked Example'!$C$33)^(COLUMN('PHEV Worked Example'!$D$31:$M$31)-COLUMN('PHEV Worked Example'!$C$31))))-0),
 IF(P$6='PHEV Worked Example'!$B$34,(1-EXP(-SUMPRODUCT('PHEV Worked Example'!$D$34:$M$34,($N52/'PHEV Worked Example'!$C$34)^(COLUMN('PHEV Worked Example'!$D$31:$M$31)-COLUMN('PHEV Worked Example'!$C$31))))-0),
               (1-EXP(-SUMPRODUCT('PHEV Worked Example'!$D$32:$M$32,($N52/'PHEV Worked Example'!$C$32)^(COLUMN('PHEV Worked Example'!$D$31:$M$31)-COLUMN('PHEV Worked Example'!$C$31))))-0)))</f>
        <v>0.86916305872339816</v>
      </c>
      <c r="Q52" s="23" cm="1">
        <f t="array" ref="Q52">IF(Q$6='PHEV Worked Example'!$B$33,(1-EXP(-SUMPRODUCT('PHEV Worked Example'!$D$33:$M$33,($N52/'PHEV Worked Example'!$C$33)^(COLUMN('PHEV Worked Example'!$D$31:$M$31)-COLUMN('PHEV Worked Example'!$C$31))))-0),
 IF(Q$6='PHEV Worked Example'!$B$34,(1-EXP(-SUMPRODUCT('PHEV Worked Example'!$D$34:$M$34,($N52/'PHEV Worked Example'!$C$34)^(COLUMN('PHEV Worked Example'!$D$31:$M$31)-COLUMN('PHEV Worked Example'!$C$31))))-0),
               (1-EXP(-SUMPRODUCT('PHEV Worked Example'!$D$32:$M$32,($N52/'PHEV Worked Example'!$C$32)^(COLUMN('PHEV Worked Example'!$D$31:$M$31)-COLUMN('PHEV Worked Example'!$C$31))))-0)))</f>
        <v>0.70540561431085158</v>
      </c>
    </row>
    <row r="53" spans="14:17" x14ac:dyDescent="0.2">
      <c r="N53">
        <f t="shared" si="0"/>
        <v>230</v>
      </c>
      <c r="O53" s="23" cm="1">
        <f t="array" ref="O53">IF(O$6='PHEV Worked Example'!$B$33,(1-EXP(-SUMPRODUCT('PHEV Worked Example'!$D$33:$M$33,($N53/'PHEV Worked Example'!$C$33)^(COLUMN('PHEV Worked Example'!$D$31:$M$31)-COLUMN('PHEV Worked Example'!$C$31))))-0),
 IF(O$6='PHEV Worked Example'!$B$34,(1-EXP(-SUMPRODUCT('PHEV Worked Example'!$D$34:$M$34,($N53/'PHEV Worked Example'!$C$34)^(COLUMN('PHEV Worked Example'!$D$31:$M$31)-COLUMN('PHEV Worked Example'!$C$31))))-0),
               (1-EXP(-SUMPRODUCT('PHEV Worked Example'!$D$32:$M$32,($N53/'PHEV Worked Example'!$C$32)^(COLUMN('PHEV Worked Example'!$D$31:$M$31)-COLUMN('PHEV Worked Example'!$C$31))))-0)))</f>
        <v>0.97656393156987908</v>
      </c>
      <c r="P53" s="23" cm="1">
        <f t="array" ref="P53">IF(P$6='PHEV Worked Example'!$B$33,(1-EXP(-SUMPRODUCT('PHEV Worked Example'!$D$33:$M$33,($N53/'PHEV Worked Example'!$C$33)^(COLUMN('PHEV Worked Example'!$D$31:$M$31)-COLUMN('PHEV Worked Example'!$C$31))))-0),
 IF(P$6='PHEV Worked Example'!$B$34,(1-EXP(-SUMPRODUCT('PHEV Worked Example'!$D$34:$M$34,($N53/'PHEV Worked Example'!$C$34)^(COLUMN('PHEV Worked Example'!$D$31:$M$31)-COLUMN('PHEV Worked Example'!$C$31))))-0),
               (1-EXP(-SUMPRODUCT('PHEV Worked Example'!$D$32:$M$32,($N53/'PHEV Worked Example'!$C$32)^(COLUMN('PHEV Worked Example'!$D$31:$M$31)-COLUMN('PHEV Worked Example'!$C$31))))-0)))</f>
        <v>0.87314384041496385</v>
      </c>
      <c r="Q53" s="23" cm="1">
        <f t="array" ref="Q53">IF(Q$6='PHEV Worked Example'!$B$33,(1-EXP(-SUMPRODUCT('PHEV Worked Example'!$D$33:$M$33,($N53/'PHEV Worked Example'!$C$33)^(COLUMN('PHEV Worked Example'!$D$31:$M$31)-COLUMN('PHEV Worked Example'!$C$31))))-0),
 IF(Q$6='PHEV Worked Example'!$B$34,(1-EXP(-SUMPRODUCT('PHEV Worked Example'!$D$34:$M$34,($N53/'PHEV Worked Example'!$C$34)^(COLUMN('PHEV Worked Example'!$D$31:$M$31)-COLUMN('PHEV Worked Example'!$C$31))))-0),
               (1-EXP(-SUMPRODUCT('PHEV Worked Example'!$D$32:$M$32,($N53/'PHEV Worked Example'!$C$32)^(COLUMN('PHEV Worked Example'!$D$31:$M$31)-COLUMN('PHEV Worked Example'!$C$31))))-0)))</f>
        <v>0.71205427103405061</v>
      </c>
    </row>
    <row r="54" spans="14:17" x14ac:dyDescent="0.2">
      <c r="N54">
        <f t="shared" si="0"/>
        <v>235</v>
      </c>
      <c r="O54" s="23" cm="1">
        <f t="array" ref="O54">IF(O$6='PHEV Worked Example'!$B$33,(1-EXP(-SUMPRODUCT('PHEV Worked Example'!$D$33:$M$33,($N54/'PHEV Worked Example'!$C$33)^(COLUMN('PHEV Worked Example'!$D$31:$M$31)-COLUMN('PHEV Worked Example'!$C$31))))-0),
 IF(O$6='PHEV Worked Example'!$B$34,(1-EXP(-SUMPRODUCT('PHEV Worked Example'!$D$34:$M$34,($N54/'PHEV Worked Example'!$C$34)^(COLUMN('PHEV Worked Example'!$D$31:$M$31)-COLUMN('PHEV Worked Example'!$C$31))))-0),
               (1-EXP(-SUMPRODUCT('PHEV Worked Example'!$D$32:$M$32,($N54/'PHEV Worked Example'!$C$32)^(COLUMN('PHEV Worked Example'!$D$31:$M$31)-COLUMN('PHEV Worked Example'!$C$31))))-0)))</f>
        <v>0.97752695304859072</v>
      </c>
      <c r="P54" s="23" cm="1">
        <f t="array" ref="P54">IF(P$6='PHEV Worked Example'!$B$33,(1-EXP(-SUMPRODUCT('PHEV Worked Example'!$D$33:$M$33,($N54/'PHEV Worked Example'!$C$33)^(COLUMN('PHEV Worked Example'!$D$31:$M$31)-COLUMN('PHEV Worked Example'!$C$31))))-0),
 IF(P$6='PHEV Worked Example'!$B$34,(1-EXP(-SUMPRODUCT('PHEV Worked Example'!$D$34:$M$34,($N54/'PHEV Worked Example'!$C$34)^(COLUMN('PHEV Worked Example'!$D$31:$M$31)-COLUMN('PHEV Worked Example'!$C$31))))-0),
               (1-EXP(-SUMPRODUCT('PHEV Worked Example'!$D$32:$M$32,($N54/'PHEV Worked Example'!$C$32)^(COLUMN('PHEV Worked Example'!$D$31:$M$31)-COLUMN('PHEV Worked Example'!$C$31))))-0)))</f>
        <v>0.87694680346532405</v>
      </c>
      <c r="Q54" s="23" cm="1">
        <f t="array" ref="Q54">IF(Q$6='PHEV Worked Example'!$B$33,(1-EXP(-SUMPRODUCT('PHEV Worked Example'!$D$33:$M$33,($N54/'PHEV Worked Example'!$C$33)^(COLUMN('PHEV Worked Example'!$D$31:$M$31)-COLUMN('PHEV Worked Example'!$C$31))))-0),
 IF(Q$6='PHEV Worked Example'!$B$34,(1-EXP(-SUMPRODUCT('PHEV Worked Example'!$D$34:$M$34,($N54/'PHEV Worked Example'!$C$34)^(COLUMN('PHEV Worked Example'!$D$31:$M$31)-COLUMN('PHEV Worked Example'!$C$31))))-0),
               (1-EXP(-SUMPRODUCT('PHEV Worked Example'!$D$32:$M$32,($N54/'PHEV Worked Example'!$C$32)^(COLUMN('PHEV Worked Example'!$D$31:$M$31)-COLUMN('PHEV Worked Example'!$C$31))))-0)))</f>
        <v>0.71849904095810513</v>
      </c>
    </row>
    <row r="55" spans="14:17" x14ac:dyDescent="0.2">
      <c r="N55">
        <f t="shared" si="0"/>
        <v>240</v>
      </c>
      <c r="O55" s="23" cm="1">
        <f t="array" ref="O55">IF(O$6='PHEV Worked Example'!$B$33,(1-EXP(-SUMPRODUCT('PHEV Worked Example'!$D$33:$M$33,($N55/'PHEV Worked Example'!$C$33)^(COLUMN('PHEV Worked Example'!$D$31:$M$31)-COLUMN('PHEV Worked Example'!$C$31))))-0),
 IF(O$6='PHEV Worked Example'!$B$34,(1-EXP(-SUMPRODUCT('PHEV Worked Example'!$D$34:$M$34,($N55/'PHEV Worked Example'!$C$34)^(COLUMN('PHEV Worked Example'!$D$31:$M$31)-COLUMN('PHEV Worked Example'!$C$31))))-0),
               (1-EXP(-SUMPRODUCT('PHEV Worked Example'!$D$32:$M$32,($N55/'PHEV Worked Example'!$C$32)^(COLUMN('PHEV Worked Example'!$D$31:$M$31)-COLUMN('PHEV Worked Example'!$C$31))))-0)))</f>
        <v>0.97843282845310731</v>
      </c>
      <c r="P55" s="23" cm="1">
        <f t="array" ref="P55">IF(P$6='PHEV Worked Example'!$B$33,(1-EXP(-SUMPRODUCT('PHEV Worked Example'!$D$33:$M$33,($N55/'PHEV Worked Example'!$C$33)^(COLUMN('PHEV Worked Example'!$D$31:$M$31)-COLUMN('PHEV Worked Example'!$C$31))))-0),
 IF(P$6='PHEV Worked Example'!$B$34,(1-EXP(-SUMPRODUCT('PHEV Worked Example'!$D$34:$M$34,($N55/'PHEV Worked Example'!$C$34)^(COLUMN('PHEV Worked Example'!$D$31:$M$31)-COLUMN('PHEV Worked Example'!$C$31))))-0),
               (1-EXP(-SUMPRODUCT('PHEV Worked Example'!$D$32:$M$32,($N55/'PHEV Worked Example'!$C$32)^(COLUMN('PHEV Worked Example'!$D$31:$M$31)-COLUMN('PHEV Worked Example'!$C$31))))-0)))</f>
        <v>0.88058226831897424</v>
      </c>
      <c r="Q55" s="23" cm="1">
        <f t="array" ref="Q55">IF(Q$6='PHEV Worked Example'!$B$33,(1-EXP(-SUMPRODUCT('PHEV Worked Example'!$D$33:$M$33,($N55/'PHEV Worked Example'!$C$33)^(COLUMN('PHEV Worked Example'!$D$31:$M$31)-COLUMN('PHEV Worked Example'!$C$31))))-0),
 IF(Q$6='PHEV Worked Example'!$B$34,(1-EXP(-SUMPRODUCT('PHEV Worked Example'!$D$34:$M$34,($N55/'PHEV Worked Example'!$C$34)^(COLUMN('PHEV Worked Example'!$D$31:$M$31)-COLUMN('PHEV Worked Example'!$C$31))))-0),
               (1-EXP(-SUMPRODUCT('PHEV Worked Example'!$D$32:$M$32,($N55/'PHEV Worked Example'!$C$32)^(COLUMN('PHEV Worked Example'!$D$31:$M$31)-COLUMN('PHEV Worked Example'!$C$31))))-0)))</f>
        <v>0.7247471782211985</v>
      </c>
    </row>
    <row r="56" spans="14:17" x14ac:dyDescent="0.2">
      <c r="N56">
        <f t="shared" si="0"/>
        <v>245</v>
      </c>
      <c r="O56" s="23" cm="1">
        <f t="array" ref="O56">IF(O$6='PHEV Worked Example'!$B$33,(1-EXP(-SUMPRODUCT('PHEV Worked Example'!$D$33:$M$33,($N56/'PHEV Worked Example'!$C$33)^(COLUMN('PHEV Worked Example'!$D$31:$M$31)-COLUMN('PHEV Worked Example'!$C$31))))-0),
 IF(O$6='PHEV Worked Example'!$B$34,(1-EXP(-SUMPRODUCT('PHEV Worked Example'!$D$34:$M$34,($N56/'PHEV Worked Example'!$C$34)^(COLUMN('PHEV Worked Example'!$D$31:$M$31)-COLUMN('PHEV Worked Example'!$C$31))))-0),
               (1-EXP(-SUMPRODUCT('PHEV Worked Example'!$D$32:$M$32,($N56/'PHEV Worked Example'!$C$32)^(COLUMN('PHEV Worked Example'!$D$31:$M$31)-COLUMN('PHEV Worked Example'!$C$31))))-0)))</f>
        <v>0.97928557849068409</v>
      </c>
      <c r="P56" s="23" cm="1">
        <f t="array" ref="P56">IF(P$6='PHEV Worked Example'!$B$33,(1-EXP(-SUMPRODUCT('PHEV Worked Example'!$D$33:$M$33,($N56/'PHEV Worked Example'!$C$33)^(COLUMN('PHEV Worked Example'!$D$31:$M$31)-COLUMN('PHEV Worked Example'!$C$31))))-0),
 IF(P$6='PHEV Worked Example'!$B$34,(1-EXP(-SUMPRODUCT('PHEV Worked Example'!$D$34:$M$34,($N56/'PHEV Worked Example'!$C$34)^(COLUMN('PHEV Worked Example'!$D$31:$M$31)-COLUMN('PHEV Worked Example'!$C$31))))-0),
               (1-EXP(-SUMPRODUCT('PHEV Worked Example'!$D$32:$M$32,($N56/'PHEV Worked Example'!$C$32)^(COLUMN('PHEV Worked Example'!$D$31:$M$31)-COLUMN('PHEV Worked Example'!$C$31))))-0)))</f>
        <v>0.88405986939498948</v>
      </c>
      <c r="Q56" s="23" cm="1">
        <f t="array" ref="Q56">IF(Q$6='PHEV Worked Example'!$B$33,(1-EXP(-SUMPRODUCT('PHEV Worked Example'!$D$33:$M$33,($N56/'PHEV Worked Example'!$C$33)^(COLUMN('PHEV Worked Example'!$D$31:$M$31)-COLUMN('PHEV Worked Example'!$C$31))))-0),
 IF(Q$6='PHEV Worked Example'!$B$34,(1-EXP(-SUMPRODUCT('PHEV Worked Example'!$D$34:$M$34,($N56/'PHEV Worked Example'!$C$34)^(COLUMN('PHEV Worked Example'!$D$31:$M$31)-COLUMN('PHEV Worked Example'!$C$31))))-0),
               (1-EXP(-SUMPRODUCT('PHEV Worked Example'!$D$32:$M$32,($N56/'PHEV Worked Example'!$C$32)^(COLUMN('PHEV Worked Example'!$D$31:$M$31)-COLUMN('PHEV Worked Example'!$C$31))))-0)))</f>
        <v>0.73080566325791874</v>
      </c>
    </row>
    <row r="57" spans="14:17" x14ac:dyDescent="0.2">
      <c r="N57">
        <f t="shared" si="0"/>
        <v>250</v>
      </c>
      <c r="O57" s="23" cm="1">
        <f t="array" ref="O57">IF(O$6='PHEV Worked Example'!$B$33,(1-EXP(-SUMPRODUCT('PHEV Worked Example'!$D$33:$M$33,($N57/'PHEV Worked Example'!$C$33)^(COLUMN('PHEV Worked Example'!$D$31:$M$31)-COLUMN('PHEV Worked Example'!$C$31))))-0),
 IF(O$6='PHEV Worked Example'!$B$34,(1-EXP(-SUMPRODUCT('PHEV Worked Example'!$D$34:$M$34,($N57/'PHEV Worked Example'!$C$34)^(COLUMN('PHEV Worked Example'!$D$31:$M$31)-COLUMN('PHEV Worked Example'!$C$31))))-0),
               (1-EXP(-SUMPRODUCT('PHEV Worked Example'!$D$32:$M$32,($N57/'PHEV Worked Example'!$C$32)^(COLUMN('PHEV Worked Example'!$D$31:$M$31)-COLUMN('PHEV Worked Example'!$C$31))))-0)))</f>
        <v>0.98008897553113727</v>
      </c>
      <c r="P57" s="23" cm="1">
        <f t="array" ref="P57">IF(P$6='PHEV Worked Example'!$B$33,(1-EXP(-SUMPRODUCT('PHEV Worked Example'!$D$33:$M$33,($N57/'PHEV Worked Example'!$C$33)^(COLUMN('PHEV Worked Example'!$D$31:$M$31)-COLUMN('PHEV Worked Example'!$C$31))))-0),
 IF(P$6='PHEV Worked Example'!$B$34,(1-EXP(-SUMPRODUCT('PHEV Worked Example'!$D$34:$M$34,($N57/'PHEV Worked Example'!$C$34)^(COLUMN('PHEV Worked Example'!$D$31:$M$31)-COLUMN('PHEV Worked Example'!$C$31))))-0),
               (1-EXP(-SUMPRODUCT('PHEV Worked Example'!$D$32:$M$32,($N57/'PHEV Worked Example'!$C$32)^(COLUMN('PHEV Worked Example'!$D$31:$M$31)-COLUMN('PHEV Worked Example'!$C$31))))-0)))</f>
        <v>0.88738860412112242</v>
      </c>
      <c r="Q57" s="23" cm="1">
        <f t="array" ref="Q57">IF(Q$6='PHEV Worked Example'!$B$33,(1-EXP(-SUMPRODUCT('PHEV Worked Example'!$D$33:$M$33,($N57/'PHEV Worked Example'!$C$33)^(COLUMN('PHEV Worked Example'!$D$31:$M$31)-COLUMN('PHEV Worked Example'!$C$31))))-0),
 IF(Q$6='PHEV Worked Example'!$B$34,(1-EXP(-SUMPRODUCT('PHEV Worked Example'!$D$34:$M$34,($N57/'PHEV Worked Example'!$C$34)^(COLUMN('PHEV Worked Example'!$D$31:$M$31)-COLUMN('PHEV Worked Example'!$C$31))))-0),
               (1-EXP(-SUMPRODUCT('PHEV Worked Example'!$D$32:$M$32,($N57/'PHEV Worked Example'!$C$32)^(COLUMN('PHEV Worked Example'!$D$31:$M$31)-COLUMN('PHEV Worked Example'!$C$31))))-0)))</f>
        <v>0.73668121304138556</v>
      </c>
    </row>
  </sheetData>
  <mergeCells count="1">
    <mergeCell ref="O5:Q5"/>
  </mergeCells>
  <hyperlinks>
    <hyperlink ref="A3" r:id="rId1" tooltip="https://ec.europa.eu/transparency/comitology-register/screen/documents/082562/1/consult?lang=en" display="https://ec.europa.eu/transparency/comitology-register/screen/documents/082562/1/consult?lang=en" xr:uid="{05686D45-7E3B-4B6E-8D0C-FB27C565390F}"/>
    <hyperlink ref="A4" r:id="rId2" display="https://eur-lex.europa.eu/eli/reg/2023/443/oj/eng" xr:uid="{E99D00ED-2798-40FD-BD60-43E523A975EE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32</vt:i4>
      </vt:variant>
    </vt:vector>
  </HeadingPairs>
  <TitlesOfParts>
    <vt:vector size="34" baseType="lpstr">
      <vt:lpstr>PHEV Worked Example</vt:lpstr>
      <vt:lpstr>WLTP Certification</vt:lpstr>
      <vt:lpstr>n_BatteryCapacity_Average</vt:lpstr>
      <vt:lpstr>n_BatteryCapacity_EoL</vt:lpstr>
      <vt:lpstr>n_BatteryCapacity_start</vt:lpstr>
      <vt:lpstr>n_BatterySoH_EoL</vt:lpstr>
      <vt:lpstr>n_CO2_Certification</vt:lpstr>
      <vt:lpstr>n_EEC_Certification</vt:lpstr>
      <vt:lpstr>n_EEC_Certification_CD</vt:lpstr>
      <vt:lpstr>n_EEC_Certification_CD_MJperkm</vt:lpstr>
      <vt:lpstr>n_EEC_InUse</vt:lpstr>
      <vt:lpstr>n_EEC_InUse_CD_MJperkm</vt:lpstr>
      <vt:lpstr>n_f_deterioration_electricity_CD</vt:lpstr>
      <vt:lpstr>n_f_deterioration_fuel_CD</vt:lpstr>
      <vt:lpstr>n_f_deterioration_fuel_CS</vt:lpstr>
      <vt:lpstr>n_f_discrepancy_electricity_CD</vt:lpstr>
      <vt:lpstr>n_f_discrepancy_fuel_CD</vt:lpstr>
      <vt:lpstr>n_f_discrepancy_fuel_CS</vt:lpstr>
      <vt:lpstr>n_FEC_Certification</vt:lpstr>
      <vt:lpstr>n_FEC_Certification_CD</vt:lpstr>
      <vt:lpstr>n_FEC_Certification_CD_MJperkm</vt:lpstr>
      <vt:lpstr>n_FEC_Certification_CS</vt:lpstr>
      <vt:lpstr>n_FEC_Certification_CS_MJperkm</vt:lpstr>
      <vt:lpstr>n_FEC_InUse</vt:lpstr>
      <vt:lpstr>n_FEC_InUse_CD_MJperkm</vt:lpstr>
      <vt:lpstr>n_FEC_InUse_CS_MJperkm</vt:lpstr>
      <vt:lpstr>n_Fuel_MJ_per_litre</vt:lpstr>
      <vt:lpstr>n_Gasoline_TailpipeCO2</vt:lpstr>
      <vt:lpstr>n_MJ_per_kWh</vt:lpstr>
      <vt:lpstr>n_Range_certification_CD</vt:lpstr>
      <vt:lpstr>n_Range_certification_electric</vt:lpstr>
      <vt:lpstr>n_Range_InUse_CD</vt:lpstr>
      <vt:lpstr>n_UF_certification_CD</vt:lpstr>
      <vt:lpstr>n_UF_InUse_CD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Hill, Nikolas</dc:creator>
  <cp:lastModifiedBy>Hill, Nikolas</cp:lastModifiedBy>
  <dcterms:created xsi:type="dcterms:W3CDTF">2016-05-21T12:11:16Z</dcterms:created>
  <dcterms:modified xsi:type="dcterms:W3CDTF">2025-11-24T18:39:14Z</dcterms:modified>
</cp:coreProperties>
</file>