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66" documentId="8_{D5EA7EB2-96D4-42C9-B361-F5F400DED094}" xr6:coauthVersionLast="47" xr6:coauthVersionMax="47" xr10:uidLastSave="{4EF63906-1E71-438E-A60A-C606E00CD7A9}"/>
  <bookViews>
    <workbookView xWindow="-108" yWindow="-108" windowWidth="16608" windowHeight="8712" xr2:uid="{00000000-000D-0000-FFFF-FFFF00000000}"/>
  </bookViews>
  <sheets>
    <sheet name="Shift Work Calendar" sheetId="1" r:id="rId1"/>
  </sheets>
  <definedNames>
    <definedName name="AprSun1">DATE(CalendarYear,4,1)-WEEKDAY(DATE(CalendarYear,4,1))</definedName>
    <definedName name="AugSun1">DATE(CalendarYear,8,1)-WEEKDAY(DATE(CalendarYear,8,1))</definedName>
    <definedName name="CalendarYear">'Shift Work Calendar'!$AH$1</definedName>
    <definedName name="DecSun1">DATE(CalendarYear,12,1)-WEEKDAY(DATE(CalendarYear,12,1))</definedName>
    <definedName name="FebSun1">DATE(CalendarYear,2,1)-WEEKDAY(DATE(CalendarYear,2,1))</definedName>
    <definedName name="JanSun1">DATE(CalendarYear,1,1)-WEEKDAY(DATE(CalendarYear,1,1))</definedName>
    <definedName name="Job1_DayOff_Code">#REF!</definedName>
    <definedName name="Job1_Name">#REF!</definedName>
    <definedName name="Job1_Pattern">#REF!</definedName>
    <definedName name="Job1_Shift1_Code">#REF!</definedName>
    <definedName name="Job1_Shift2_Code">#REF!</definedName>
    <definedName name="Job1_Shift3_Code">#REF!</definedName>
    <definedName name="Job1_StartDate">#REF!</definedName>
    <definedName name="Job2_DayOff_Code">#REF!</definedName>
    <definedName name="Job2_Name">#REF!</definedName>
    <definedName name="Job2_Pattern">#REF!</definedName>
    <definedName name="Job2_Shift1_Code">#REF!</definedName>
    <definedName name="Job2_Shift2_Code">#REF!</definedName>
    <definedName name="Job2_Shift3_Code">#REF!</definedName>
    <definedName name="Job2_StartDate">#REF!</definedName>
    <definedName name="Job3_DayOff_Code">#REF!</definedName>
    <definedName name="Job3_Name">#REF!</definedName>
    <definedName name="Job3_Pattern">#REF!</definedName>
    <definedName name="Job3_Shift1_Code">#REF!</definedName>
    <definedName name="Job3_Shift2_Code">#REF!</definedName>
    <definedName name="Job3_Shift3_Code">#REF!</definedName>
    <definedName name="Job3_StartDate">#REF!</definedName>
    <definedName name="JulSun1">DATE(CalendarYear,7,1)-WEEKDAY(DATE(CalendarYear,7,1))</definedName>
    <definedName name="JunSun1">DATE(CalendarYear,6,1)-WEEKDAY(DATE(CalendarYear,6,1))</definedName>
    <definedName name="MarSun1">DATE(CalendarYear,3,1)-WEEKDAY(DATE(CalendarYear,3,1))</definedName>
    <definedName name="MaySun1">DATE(CalendarYear,5,1)-WEEKDAY(DATE(CalendarYear,5,1))</definedName>
    <definedName name="NovSun1">DATE(CalendarYear,11,1)-WEEKDAY(DATE(CalendarYear,11,1))</definedName>
    <definedName name="OctSun1">DATE(CalendarYear,10,1)-WEEKDAY(DATE(CalendarYear,10,1))</definedName>
    <definedName name="Range_Dates">'Shift Work Calendar'!$C$5:$AM$5,'Shift Work Calendar'!$C$12:$AM$12,'Shift Work Calendar'!$C$19:$AM$19,'Shift Work Calendar'!$C$26:$AM$26,'Shift Work Calendar'!$C$33:$AM$33,'Shift Work Calendar'!$C$40:$AM$40,'Shift Work Calendar'!$C$47:$AM$47,'Shift Work Calendar'!$C$54:$AM$54,'Shift Work Calendar'!$C$61:$AM$61,'Shift Work Calendar'!$C$68:$AM$68,'Shift Work Calendar'!$C$75:$AM$75,'Shift Work Calendar'!$C$82:$AM$82</definedName>
    <definedName name="Range_Days">'Shift Work Calendar'!$C$7:$AM$10,'Shift Work Calendar'!$C$14:$AM$17,'Shift Work Calendar'!$C$21:$AM$24,'Shift Work Calendar'!$C$28:$AM$31,'Shift Work Calendar'!$C$35:$AM$38,'Shift Work Calendar'!$C$42:$AM$45,'Shift Work Calendar'!$C$49:$AM$52,'Shift Work Calendar'!$C$56:$AM$59,'Shift Work Calendar'!$C$63:$AM$66,'Shift Work Calendar'!$C$70:$AM$73,'Shift Work Calendar'!$C$77:$AM$80,'Shift Work Calendar'!$C$84:$AM$87</definedName>
    <definedName name="Range_Weekdays">'Shift Work Calendar'!$C$6:$AM$6,'Shift Work Calendar'!$C$13:$AM$13,'Shift Work Calendar'!$C$20:$AM$20,'Shift Work Calendar'!$C$27:$AM$27,'Shift Work Calendar'!$C$34:$AM$34,'Shift Work Calendar'!$C$41:$AM$41,'Shift Work Calendar'!$C$48:$AM$48,'Shift Work Calendar'!$C$55:$AM$55,'Shift Work Calendar'!$C$62:$AM$62,'Shift Work Calendar'!$C$69:$AM$69,'Shift Work Calendar'!$C$76:$AM$76,'Shift Work Calendar'!$C$83:$AM$83</definedName>
    <definedName name="SepSun1">DATE(CalendarYear,9,1)-WEEKDAY(DATE(CalendarYear,9,1))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82" i="1"/>
  <c r="AM82" i="1" l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V77" i="1" s="1"/>
  <c r="U75" i="1"/>
  <c r="U77" i="1" s="1"/>
  <c r="T75" i="1"/>
  <c r="T77" i="1" s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M68" i="1"/>
  <c r="AL68" i="1"/>
  <c r="AK68" i="1"/>
  <c r="AJ68" i="1"/>
  <c r="AJ70" i="1" s="1"/>
  <c r="AI68" i="1"/>
  <c r="AI70" i="1" s="1"/>
  <c r="AH68" i="1"/>
  <c r="AH70" i="1" s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M40" i="1"/>
  <c r="AL40" i="1"/>
  <c r="AK40" i="1"/>
  <c r="AJ40" i="1"/>
  <c r="AI40" i="1"/>
  <c r="AH40" i="1"/>
  <c r="AG40" i="1"/>
  <c r="AF40" i="1"/>
  <c r="AE40" i="1"/>
  <c r="AD40" i="1"/>
  <c r="AC40" i="1"/>
  <c r="AC42" i="1" s="1"/>
  <c r="AB40" i="1"/>
  <c r="AB42" i="1" s="1"/>
  <c r="AA40" i="1"/>
  <c r="AA42" i="1" s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M26" i="1"/>
  <c r="AL26" i="1"/>
  <c r="AK26" i="1"/>
  <c r="AJ26" i="1"/>
  <c r="AI26" i="1"/>
  <c r="AI28" i="1" s="1"/>
  <c r="AH26" i="1"/>
  <c r="AH28" i="1" s="1"/>
  <c r="AG26" i="1"/>
  <c r="AG28" i="1" s="1"/>
  <c r="AF26" i="1"/>
  <c r="AE26" i="1"/>
  <c r="AD26" i="1"/>
  <c r="AC26" i="1"/>
  <c r="AB26" i="1"/>
  <c r="AA26" i="1"/>
  <c r="Z26" i="1"/>
  <c r="Y26" i="1"/>
  <c r="X26" i="1"/>
  <c r="W26" i="1"/>
  <c r="V26" i="1"/>
  <c r="U26" i="1"/>
  <c r="U28" i="1" s="1"/>
  <c r="T26" i="1"/>
  <c r="T28" i="1" s="1"/>
  <c r="S26" i="1"/>
  <c r="S28" i="1" s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U21" i="1" s="1"/>
  <c r="T19" i="1"/>
  <c r="T21" i="1" s="1"/>
  <c r="S19" i="1"/>
  <c r="S21" i="1" s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D5" i="1"/>
  <c r="C5" i="1"/>
  <c r="B19" i="1"/>
  <c r="B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N21" i="1" l="1"/>
  <c r="O21" i="1"/>
  <c r="M21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<sst xmlns="http://schemas.openxmlformats.org/spreadsheetml/2006/main" count="526" uniqueCount="37">
  <si>
    <t>Su</t>
  </si>
  <si>
    <t>Mo</t>
  </si>
  <si>
    <t>Tu</t>
  </si>
  <si>
    <t>We</t>
  </si>
  <si>
    <t>Th</t>
  </si>
  <si>
    <t>Fr</t>
  </si>
  <si>
    <t>Sa</t>
  </si>
  <si>
    <t>UNECE</t>
  </si>
  <si>
    <t>24th GRVA</t>
  </si>
  <si>
    <t>83rd GRBP</t>
  </si>
  <si>
    <t>AC.2</t>
  </si>
  <si>
    <t>WP.29</t>
  </si>
  <si>
    <t>94th GRPE</t>
  </si>
  <si>
    <t>131st GRSG</t>
  </si>
  <si>
    <t>94th GRE</t>
  </si>
  <si>
    <t>79th GRSP</t>
  </si>
  <si>
    <t>? 25th GRVA ?</t>
  </si>
  <si>
    <t>84th GRBP</t>
  </si>
  <si>
    <t>26th GRVA</t>
  </si>
  <si>
    <t>GRSG</t>
  </si>
  <si>
    <t>132nd GRSG</t>
  </si>
  <si>
    <t>95th GRPE</t>
  </si>
  <si>
    <t>95th GRE</t>
  </si>
  <si>
    <t>80th GRSP</t>
  </si>
  <si>
    <t>OICA GEBP</t>
  </si>
  <si>
    <t>Japanese holidays</t>
  </si>
  <si>
    <t>Public holidays</t>
  </si>
  <si>
    <t>bank/ school holidays southern D</t>
  </si>
  <si>
    <t>NOISE WEEK</t>
  </si>
  <si>
    <t>WP:29 sessions</t>
  </si>
  <si>
    <t>Virtual Noise Week</t>
  </si>
  <si>
    <t>In-person Noise Week</t>
  </si>
  <si>
    <t>in person</t>
  </si>
  <si>
    <t>virtual</t>
  </si>
  <si>
    <t>NOISE MEETINGS</t>
  </si>
  <si>
    <t xml:space="preserve">half day </t>
  </si>
  <si>
    <t xml:space="preserve"> half day before beginning of GRBP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</si>
</sst>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"/>
    <numFmt numFmtId="165" formatCode="mmmm\ yyyy"/>
    <numFmt numFmtId="166" formatCode=";;;"/>
    <numFmt numFmtId="167" formatCode="mmm\ yyyy"/>
  </numFmts>
  <fonts count="31" x14ac:knownFonts="1">
    <font>
      <sz val="11"/>
      <color theme="1"/>
      <name val="Franklin Gothic Book"/>
      <family val="2"/>
      <scheme val="minor"/>
    </font>
    <font>
      <sz val="11"/>
      <color theme="0" tint="-0.499984740745262"/>
      <name val="Calibri"/>
      <family val="2"/>
    </font>
    <font>
      <sz val="40"/>
      <color theme="7" tint="-0.499984740745262"/>
      <name val="Franklin Gothic Medium"/>
      <family val="2"/>
      <scheme val="major"/>
    </font>
    <font>
      <b/>
      <sz val="22"/>
      <color theme="0" tint="-0.499984740745262"/>
      <name val="Franklin Gothic Book"/>
      <family val="2"/>
      <scheme val="minor"/>
    </font>
    <font>
      <sz val="11"/>
      <color theme="0" tint="-0.499984740745262"/>
      <name val="Franklin Gothic Book"/>
      <family val="2"/>
      <scheme val="minor"/>
    </font>
    <font>
      <sz val="42"/>
      <color theme="3" tint="-0.499984740745262"/>
      <name val="Franklin Gothic Medium"/>
      <family val="2"/>
      <scheme val="major"/>
    </font>
    <font>
      <sz val="11"/>
      <color theme="0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  <scheme val="minor"/>
    </font>
    <font>
      <b/>
      <sz val="9"/>
      <color theme="1" tint="4.9989318521683403E-2"/>
      <name val="Franklin Gothic Book"/>
      <family val="2"/>
      <scheme val="minor"/>
    </font>
    <font>
      <b/>
      <sz val="9"/>
      <color theme="3" tint="-0.249977111117893"/>
      <name val="Franklin Gothic Book"/>
      <family val="2"/>
      <scheme val="minor"/>
    </font>
    <font>
      <b/>
      <sz val="9"/>
      <color theme="0"/>
      <name val="Franklin Gothic Book"/>
      <family val="2"/>
      <scheme val="minor"/>
    </font>
    <font>
      <b/>
      <sz val="9"/>
      <color theme="1"/>
      <name val="Franklin Gothic Book"/>
      <family val="2"/>
      <scheme val="minor"/>
    </font>
    <font>
      <sz val="14"/>
      <color theme="0"/>
      <name val="Franklin Gothic Medium"/>
      <family val="2"/>
      <scheme val="major"/>
    </font>
    <font>
      <sz val="10"/>
      <color theme="0"/>
      <name val="Franklin Gothic Book"/>
      <family val="2"/>
      <scheme val="minor"/>
    </font>
    <font>
      <sz val="8"/>
      <name val="Franklin Gothic Book"/>
      <family val="2"/>
      <scheme val="minor"/>
    </font>
    <font>
      <b/>
      <sz val="10"/>
      <name val="Franklin Gothic Book"/>
      <family val="2"/>
      <scheme val="minor"/>
    </font>
    <font>
      <b/>
      <sz val="10"/>
      <color theme="2" tint="-0.499984740745262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FF0000"/>
      <name val="Franklin Gothic Book"/>
      <family val="2"/>
      <scheme val="minor"/>
    </font>
    <font>
      <b/>
      <sz val="11"/>
      <color theme="7"/>
      <name val="Franklin Gothic Book"/>
      <family val="2"/>
      <scheme val="minor"/>
    </font>
    <font>
      <b/>
      <u/>
      <sz val="11"/>
      <color theme="0"/>
      <name val="Franklin Gothic Book"/>
      <family val="2"/>
      <scheme val="minor"/>
    </font>
    <font>
      <b/>
      <u/>
      <sz val="12"/>
      <color theme="0"/>
      <name val="Franklin Gothic Book"/>
      <family val="2"/>
      <scheme val="minor"/>
    </font>
    <font>
      <b/>
      <sz val="8"/>
      <name val="Franklin Gothic Book"/>
      <family val="2"/>
      <scheme val="minor"/>
    </font>
    <font>
      <sz val="8"/>
      <color theme="1" tint="0.1499984740745262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sz val="8"/>
      <color theme="0"/>
      <name val="Franklin Gothic Book"/>
      <family val="2"/>
      <scheme val="minor"/>
    </font>
    <font>
      <b/>
      <sz val="8"/>
      <color theme="2" tint="-0.749992370372631"/>
      <name val="Franklin Gothic Book"/>
      <family val="2"/>
      <scheme val="minor"/>
    </font>
    <font>
      <b/>
      <u/>
      <sz val="10.5"/>
      <name val="Franklin Gothic Book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59996337778862885"/>
        <bgColor indexed="65"/>
      </patternFill>
    </fill>
    <fill>
      <patternFill patternType="solid">
        <fgColor theme="8" tint="-0.24994659260841701"/>
        <bgColor indexed="65"/>
      </patternFill>
    </fill>
    <fill>
      <patternFill patternType="solid">
        <fgColor theme="6" tint="-0.499984740745262"/>
        <bgColor indexed="65"/>
      </patternFill>
    </fill>
    <fill>
      <patternFill patternType="lightDown">
        <fgColor theme="3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0FAF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7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mediumDashed">
        <color theme="3"/>
      </left>
      <right/>
      <top style="mediumDashed">
        <color theme="3"/>
      </top>
      <bottom style="mediumDashed">
        <color theme="3"/>
      </bottom>
      <diagonal/>
    </border>
    <border>
      <left/>
      <right/>
      <top style="mediumDashed">
        <color theme="3"/>
      </top>
      <bottom style="mediumDashed">
        <color theme="3"/>
      </bottom>
      <diagonal/>
    </border>
    <border>
      <left/>
      <right style="mediumDashed">
        <color theme="3"/>
      </right>
      <top style="mediumDashed">
        <color theme="3"/>
      </top>
      <bottom style="mediumDashed">
        <color theme="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Dashed">
        <color rgb="FF00B050"/>
      </left>
      <right style="mediumDashed">
        <color rgb="FF00B050"/>
      </right>
      <top style="mediumDashed">
        <color rgb="FF00B050"/>
      </top>
      <bottom style="mediumDashed">
        <color rgb="FF00B05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Dashed">
        <color rgb="FF00B050"/>
      </left>
      <right style="thin">
        <color theme="0" tint="-0.24994659260841701"/>
      </right>
      <top style="mediumDashed">
        <color rgb="FF00B050"/>
      </top>
      <bottom style="mediumDashed">
        <color rgb="FF00B050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Dashed">
        <color rgb="FF00B050"/>
      </top>
      <bottom style="mediumDashed">
        <color rgb="FF00B050"/>
      </bottom>
      <diagonal/>
    </border>
    <border>
      <left style="thin">
        <color theme="0" tint="-0.24994659260841701"/>
      </left>
      <right style="mediumDashed">
        <color rgb="FF00B050"/>
      </right>
      <top style="mediumDashed">
        <color rgb="FF00B050"/>
      </top>
      <bottom style="mediumDashed">
        <color rgb="FF00B05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theme="7"/>
      </left>
      <right style="thin">
        <color theme="0" tint="-0.24994659260841701"/>
      </right>
      <top style="thick">
        <color theme="7"/>
      </top>
      <bottom style="thick">
        <color theme="7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7"/>
      </top>
      <bottom style="thick">
        <color theme="7"/>
      </bottom>
      <diagonal/>
    </border>
    <border>
      <left style="thin">
        <color theme="0" tint="-0.24994659260841701"/>
      </left>
      <right style="thick">
        <color theme="7"/>
      </right>
      <top style="thick">
        <color theme="7"/>
      </top>
      <bottom style="thick">
        <color theme="7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Dashed">
        <color rgb="FF00B050"/>
      </left>
      <right style="thin">
        <color theme="0" tint="-0.24994659260841701"/>
      </right>
      <top/>
      <bottom style="mediumDashed">
        <color rgb="FF00B050"/>
      </bottom>
      <diagonal/>
    </border>
    <border>
      <left style="thin">
        <color theme="0" tint="-0.24994659260841701"/>
      </left>
      <right style="mediumDashed">
        <color rgb="FF00B050"/>
      </right>
      <top/>
      <bottom style="mediumDashed">
        <color rgb="FF00B050"/>
      </bottom>
      <diagonal/>
    </border>
    <border>
      <left/>
      <right/>
      <top style="thick">
        <color theme="7"/>
      </top>
      <bottom style="thick">
        <color theme="7"/>
      </bottom>
      <diagonal/>
    </border>
    <border>
      <left/>
      <right style="thin">
        <color theme="0" tint="-0.24994659260841701"/>
      </right>
      <top style="thick">
        <color theme="7"/>
      </top>
      <bottom style="thick">
        <color theme="7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Dashed">
        <color rgb="FF00B050"/>
      </bottom>
      <diagonal/>
    </border>
    <border>
      <left style="mediumDashed">
        <color rgb="FFFF0000"/>
      </left>
      <right style="thin">
        <color indexed="64"/>
      </right>
      <top/>
      <bottom style="mediumDashed">
        <color rgb="FFFF0000"/>
      </bottom>
      <diagonal/>
    </border>
    <border>
      <left style="thin">
        <color indexed="64"/>
      </left>
      <right style="thin">
        <color indexed="64"/>
      </right>
      <top/>
      <bottom style="mediumDashed">
        <color rgb="FFFF0000"/>
      </bottom>
      <diagonal/>
    </border>
    <border>
      <left style="thin">
        <color indexed="64"/>
      </left>
      <right style="mediumDashed">
        <color rgb="FFFF0000"/>
      </right>
      <top/>
      <bottom style="mediumDashed">
        <color rgb="FFFF0000"/>
      </bottom>
      <diagonal/>
    </border>
    <border>
      <left style="mediumDashed">
        <color rgb="FFFF0000"/>
      </left>
      <right style="thin">
        <color indexed="64"/>
      </right>
      <top style="mediumDashed">
        <color rgb="FFFF0000"/>
      </top>
      <bottom/>
      <diagonal/>
    </border>
    <border>
      <left style="thin">
        <color indexed="64"/>
      </left>
      <right style="thin">
        <color indexed="64"/>
      </right>
      <top style="mediumDashed">
        <color rgb="FFFF0000"/>
      </top>
      <bottom/>
      <diagonal/>
    </border>
    <border>
      <left style="thin">
        <color indexed="64"/>
      </left>
      <right style="mediumDashed">
        <color rgb="FFFF0000"/>
      </right>
      <top style="mediumDashed">
        <color rgb="FFFF0000"/>
      </top>
      <bottom/>
      <diagonal/>
    </border>
    <border>
      <left style="mediumDashed">
        <color rgb="FF00B050"/>
      </left>
      <right style="mediumDashed">
        <color rgb="FF00B050"/>
      </right>
      <top/>
      <bottom style="mediumDashed">
        <color rgb="FF00B05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ck">
        <color theme="7"/>
      </top>
      <bottom style="thick">
        <color theme="7"/>
      </bottom>
      <diagonal/>
    </border>
    <border>
      <left style="thin">
        <color rgb="FFB2B2B2"/>
      </left>
      <right/>
      <top style="thick">
        <color theme="7"/>
      </top>
      <bottom style="thick">
        <color theme="7"/>
      </bottom>
      <diagonal/>
    </border>
    <border>
      <left/>
      <right style="thin">
        <color rgb="FFB2B2B2"/>
      </right>
      <top style="thick">
        <color theme="7"/>
      </top>
      <bottom style="thick">
        <color theme="7"/>
      </bottom>
      <diagonal/>
    </border>
    <border diagonalUp="1">
      <left style="thin">
        <color theme="0" tint="-0.24994659260841701"/>
      </left>
      <right style="thin">
        <color theme="0" tint="-0.24994659260841701"/>
      </right>
      <top style="thick">
        <color theme="7"/>
      </top>
      <bottom style="thick">
        <color theme="7"/>
      </bottom>
      <diagonal style="thick">
        <color theme="1"/>
      </diagonal>
    </border>
    <border diagonalUp="1"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 style="thick">
        <color theme="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</borders>
  <cellStyleXfs count="10">
    <xf numFmtId="0" fontId="0" fillId="0" borderId="0"/>
    <xf numFmtId="0" fontId="7" fillId="0" borderId="0"/>
    <xf numFmtId="0" fontId="9" fillId="7" borderId="3">
      <alignment horizontal="center" vertical="center"/>
    </xf>
    <xf numFmtId="0" fontId="10" fillId="0" borderId="3" applyNumberFormat="0">
      <alignment horizontal="center" vertical="center"/>
    </xf>
    <xf numFmtId="0" fontId="11" fillId="8" borderId="3">
      <alignment horizontal="center" vertical="center"/>
    </xf>
    <xf numFmtId="0" fontId="9" fillId="2" borderId="3">
      <alignment horizontal="center" vertical="center"/>
    </xf>
    <xf numFmtId="0" fontId="11" fillId="9" borderId="3" applyNumberFormat="0">
      <alignment horizontal="center" vertical="center"/>
    </xf>
    <xf numFmtId="0" fontId="12" fillId="10" borderId="3" applyNumberFormat="0">
      <alignment horizontal="center" vertical="center"/>
    </xf>
    <xf numFmtId="0" fontId="18" fillId="18" borderId="24" applyNumberFormat="0" applyFont="0" applyAlignment="0" applyProtection="0"/>
    <xf numFmtId="0" fontId="20" fillId="19" borderId="0" applyNumberFormat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11" borderId="4" xfId="0" applyFont="1" applyFill="1" applyBorder="1" applyAlignment="1">
      <alignment horizontal="center" vertical="center"/>
    </xf>
    <xf numFmtId="164" fontId="14" fillId="6" borderId="4" xfId="0" applyNumberFormat="1" applyFont="1" applyFill="1" applyBorder="1" applyAlignment="1">
      <alignment horizontal="center" vertical="center"/>
    </xf>
    <xf numFmtId="164" fontId="14" fillId="6" borderId="8" xfId="0" applyNumberFormat="1" applyFont="1" applyFill="1" applyBorder="1" applyAlignment="1">
      <alignment horizontal="center" vertical="center"/>
    </xf>
    <xf numFmtId="0" fontId="14" fillId="11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6" fontId="8" fillId="0" borderId="5" xfId="0" applyNumberFormat="1" applyFont="1" applyBorder="1" applyAlignment="1">
      <alignment horizontal="center" vertical="center"/>
    </xf>
    <xf numFmtId="166" fontId="8" fillId="0" borderId="2" xfId="0" applyNumberFormat="1" applyFont="1" applyBorder="1" applyAlignment="1">
      <alignment horizontal="center" vertical="center"/>
    </xf>
    <xf numFmtId="166" fontId="8" fillId="0" borderId="10" xfId="0" applyNumberFormat="1" applyFont="1" applyBorder="1" applyAlignment="1">
      <alignment horizontal="center" vertical="center"/>
    </xf>
    <xf numFmtId="166" fontId="8" fillId="0" borderId="11" xfId="0" applyNumberFormat="1" applyFont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166" fontId="8" fillId="0" borderId="18" xfId="0" applyNumberFormat="1" applyFont="1" applyBorder="1" applyAlignment="1">
      <alignment horizontal="center" vertical="center"/>
    </xf>
    <xf numFmtId="166" fontId="8" fillId="0" borderId="19" xfId="0" applyNumberFormat="1" applyFont="1" applyBorder="1" applyAlignment="1">
      <alignment horizontal="center" vertical="center"/>
    </xf>
    <xf numFmtId="0" fontId="0" fillId="20" borderId="2" xfId="0" applyFill="1" applyBorder="1"/>
    <xf numFmtId="166" fontId="8" fillId="20" borderId="5" xfId="0" applyNumberFormat="1" applyFont="1" applyFill="1" applyBorder="1" applyAlignment="1">
      <alignment horizontal="center" vertical="center"/>
    </xf>
    <xf numFmtId="166" fontId="8" fillId="21" borderId="2" xfId="0" applyNumberFormat="1" applyFont="1" applyFill="1" applyBorder="1" applyAlignment="1">
      <alignment horizontal="center" vertical="center"/>
    </xf>
    <xf numFmtId="166" fontId="8" fillId="20" borderId="26" xfId="0" applyNumberFormat="1" applyFont="1" applyFill="1" applyBorder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21" borderId="5" xfId="0" applyNumberFormat="1" applyFont="1" applyFill="1" applyBorder="1" applyAlignment="1">
      <alignment horizontal="center" vertical="center"/>
    </xf>
    <xf numFmtId="166" fontId="8" fillId="0" borderId="32" xfId="0" applyNumberFormat="1" applyFont="1" applyBorder="1" applyAlignment="1">
      <alignment horizontal="center" vertical="center"/>
    </xf>
    <xf numFmtId="166" fontId="8" fillId="0" borderId="17" xfId="0" applyNumberFormat="1" applyFont="1" applyBorder="1" applyAlignment="1">
      <alignment horizontal="center" vertical="center"/>
    </xf>
    <xf numFmtId="166" fontId="8" fillId="20" borderId="25" xfId="0" applyNumberFormat="1" applyFont="1" applyFill="1" applyBorder="1" applyAlignment="1">
      <alignment horizontal="center" vertical="center"/>
    </xf>
    <xf numFmtId="166" fontId="8" fillId="20" borderId="27" xfId="0" applyNumberFormat="1" applyFont="1" applyFill="1" applyBorder="1" applyAlignment="1">
      <alignment horizontal="center" vertical="center"/>
    </xf>
    <xf numFmtId="166" fontId="8" fillId="20" borderId="28" xfId="0" applyNumberFormat="1" applyFont="1" applyFill="1" applyBorder="1" applyAlignment="1">
      <alignment horizontal="center" vertical="center"/>
    </xf>
    <xf numFmtId="166" fontId="8" fillId="20" borderId="29" xfId="0" applyNumberFormat="1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66" fontId="8" fillId="0" borderId="35" xfId="0" applyNumberFormat="1" applyFont="1" applyBorder="1" applyAlignment="1">
      <alignment horizontal="center" vertical="center"/>
    </xf>
    <xf numFmtId="166" fontId="8" fillId="0" borderId="36" xfId="0" applyNumberFormat="1" applyFont="1" applyBorder="1" applyAlignment="1">
      <alignment horizontal="center" vertical="center"/>
    </xf>
    <xf numFmtId="166" fontId="21" fillId="20" borderId="38" xfId="0" applyNumberFormat="1" applyFont="1" applyFill="1" applyBorder="1" applyAlignment="1">
      <alignment horizontal="center" vertical="center"/>
    </xf>
    <xf numFmtId="166" fontId="21" fillId="20" borderId="39" xfId="0" applyNumberFormat="1" applyFont="1" applyFill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166" fontId="8" fillId="0" borderId="41" xfId="0" applyNumberFormat="1" applyFont="1" applyBorder="1" applyAlignment="1">
      <alignment horizontal="center" vertical="center"/>
    </xf>
    <xf numFmtId="166" fontId="21" fillId="20" borderId="42" xfId="0" applyNumberFormat="1" applyFont="1" applyFill="1" applyBorder="1" applyAlignment="1">
      <alignment horizontal="center" vertical="center"/>
    </xf>
    <xf numFmtId="166" fontId="8" fillId="20" borderId="49" xfId="0" applyNumberFormat="1" applyFont="1" applyFill="1" applyBorder="1" applyAlignment="1">
      <alignment horizontal="center" vertical="center"/>
    </xf>
    <xf numFmtId="166" fontId="8" fillId="0" borderId="50" xfId="0" applyNumberFormat="1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19" fillId="19" borderId="34" xfId="9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6" fontId="26" fillId="0" borderId="26" xfId="0" applyNumberFormat="1" applyFont="1" applyBorder="1" applyAlignment="1">
      <alignment horizontal="center" vertical="center"/>
    </xf>
    <xf numFmtId="166" fontId="26" fillId="0" borderId="51" xfId="0" applyNumberFormat="1" applyFont="1" applyBorder="1" applyAlignment="1">
      <alignment horizontal="center" vertical="center"/>
    </xf>
    <xf numFmtId="0" fontId="25" fillId="12" borderId="13" xfId="0" applyFont="1" applyFill="1" applyBorder="1" applyAlignment="1">
      <alignment vertical="center"/>
    </xf>
    <xf numFmtId="0" fontId="25" fillId="12" borderId="37" xfId="0" applyFont="1" applyFill="1" applyBorder="1" applyAlignment="1">
      <alignment vertical="center"/>
    </xf>
    <xf numFmtId="166" fontId="26" fillId="0" borderId="35" xfId="0" applyNumberFormat="1" applyFont="1" applyBorder="1" applyAlignment="1">
      <alignment horizontal="center" vertical="center"/>
    </xf>
    <xf numFmtId="0" fontId="0" fillId="17" borderId="2" xfId="0" applyFill="1" applyBorder="1"/>
    <xf numFmtId="0" fontId="0" fillId="23" borderId="2" xfId="0" applyFill="1" applyBorder="1"/>
    <xf numFmtId="0" fontId="24" fillId="22" borderId="52" xfId="0" applyFont="1" applyFill="1" applyBorder="1" applyAlignment="1">
      <alignment vertical="center"/>
    </xf>
    <xf numFmtId="0" fontId="24" fillId="22" borderId="40" xfId="0" applyFont="1" applyFill="1" applyBorder="1" applyAlignment="1">
      <alignment vertical="center"/>
    </xf>
    <xf numFmtId="0" fontId="24" fillId="22" borderId="41" xfId="0" applyFont="1" applyFill="1" applyBorder="1" applyAlignment="1">
      <alignment vertical="center"/>
    </xf>
    <xf numFmtId="0" fontId="16" fillId="4" borderId="13" xfId="0" applyFont="1" applyFill="1" applyBorder="1" applyAlignment="1">
      <alignment vertical="center"/>
    </xf>
    <xf numFmtId="0" fontId="16" fillId="4" borderId="14" xfId="0" applyFont="1" applyFill="1" applyBorder="1" applyAlignment="1">
      <alignment vertical="center"/>
    </xf>
    <xf numFmtId="166" fontId="8" fillId="17" borderId="55" xfId="0" applyNumberFormat="1" applyFont="1" applyFill="1" applyBorder="1" applyAlignment="1">
      <alignment horizontal="center" vertical="center"/>
    </xf>
    <xf numFmtId="0" fontId="7" fillId="17" borderId="56" xfId="1" applyFill="1" applyBorder="1"/>
    <xf numFmtId="0" fontId="16" fillId="4" borderId="57" xfId="0" applyFont="1" applyFill="1" applyBorder="1" applyAlignment="1">
      <alignment vertical="center"/>
    </xf>
    <xf numFmtId="0" fontId="7" fillId="17" borderId="35" xfId="1" applyFill="1" applyBorder="1"/>
    <xf numFmtId="167" fontId="13" fillId="6" borderId="7" xfId="0" applyNumberFormat="1" applyFont="1" applyFill="1" applyBorder="1" applyAlignment="1">
      <alignment horizontal="center" vertical="center"/>
    </xf>
    <xf numFmtId="167" fontId="13" fillId="6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7" xfId="0" applyBorder="1" applyAlignment="1">
      <alignment horizontal="right"/>
    </xf>
    <xf numFmtId="0" fontId="5" fillId="0" borderId="1" xfId="0" applyFont="1" applyBorder="1" applyAlignment="1">
      <alignment horizontal="right" wrapText="1"/>
    </xf>
    <xf numFmtId="0" fontId="25" fillId="3" borderId="33" xfId="0" applyFont="1" applyFill="1" applyBorder="1" applyAlignment="1">
      <alignment horizontal="center" vertical="center"/>
    </xf>
    <xf numFmtId="0" fontId="25" fillId="12" borderId="37" xfId="0" applyFont="1" applyFill="1" applyBorder="1" applyAlignment="1">
      <alignment horizontal="center" vertical="center"/>
    </xf>
    <xf numFmtId="0" fontId="25" fillId="12" borderId="30" xfId="0" applyFont="1" applyFill="1" applyBorder="1" applyAlignment="1">
      <alignment horizontal="center" vertical="center"/>
    </xf>
    <xf numFmtId="0" fontId="25" fillId="12" borderId="31" xfId="0" applyFont="1" applyFill="1" applyBorder="1" applyAlignment="1">
      <alignment horizontal="center" vertical="center"/>
    </xf>
    <xf numFmtId="0" fontId="25" fillId="5" borderId="37" xfId="0" applyFont="1" applyFill="1" applyBorder="1" applyAlignment="1">
      <alignment horizontal="center" vertical="center"/>
    </xf>
    <xf numFmtId="0" fontId="25" fillId="5" borderId="30" xfId="0" applyFont="1" applyFill="1" applyBorder="1" applyAlignment="1">
      <alignment horizontal="center" vertical="center"/>
    </xf>
    <xf numFmtId="0" fontId="25" fillId="5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8" fillId="0" borderId="32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165" fontId="13" fillId="6" borderId="7" xfId="0" applyNumberFormat="1" applyFont="1" applyFill="1" applyBorder="1" applyAlignment="1">
      <alignment horizontal="center" vertical="center"/>
    </xf>
    <xf numFmtId="165" fontId="13" fillId="6" borderId="6" xfId="0" applyNumberFormat="1" applyFont="1" applyFill="1" applyBorder="1" applyAlignment="1">
      <alignment horizontal="center" vertical="center"/>
    </xf>
    <xf numFmtId="0" fontId="17" fillId="16" borderId="21" xfId="0" applyFont="1" applyFill="1" applyBorder="1" applyAlignment="1">
      <alignment horizontal="center" vertical="center"/>
    </xf>
    <xf numFmtId="0" fontId="17" fillId="16" borderId="22" xfId="0" applyFont="1" applyFill="1" applyBorder="1" applyAlignment="1">
      <alignment horizontal="center" vertical="center"/>
    </xf>
    <xf numFmtId="0" fontId="17" fillId="16" borderId="23" xfId="0" applyFont="1" applyFill="1" applyBorder="1" applyAlignment="1">
      <alignment horizontal="center" vertical="center"/>
    </xf>
    <xf numFmtId="0" fontId="25" fillId="13" borderId="30" xfId="0" applyFont="1" applyFill="1" applyBorder="1" applyAlignment="1">
      <alignment horizontal="center" vertical="center"/>
    </xf>
    <xf numFmtId="0" fontId="25" fillId="13" borderId="31" xfId="0" applyFont="1" applyFill="1" applyBorder="1" applyAlignment="1">
      <alignment horizontal="center" vertical="center"/>
    </xf>
    <xf numFmtId="0" fontId="25" fillId="13" borderId="13" xfId="0" applyFont="1" applyFill="1" applyBorder="1" applyAlignment="1">
      <alignment horizontal="center" vertical="center"/>
    </xf>
    <xf numFmtId="0" fontId="25" fillId="13" borderId="14" xfId="0" applyFont="1" applyFill="1" applyBorder="1" applyAlignment="1">
      <alignment horizontal="center" vertical="center"/>
    </xf>
    <xf numFmtId="0" fontId="25" fillId="13" borderId="20" xfId="0" applyFont="1" applyFill="1" applyBorder="1" applyAlignment="1">
      <alignment horizontal="center" vertical="center"/>
    </xf>
    <xf numFmtId="0" fontId="25" fillId="14" borderId="37" xfId="0" applyFont="1" applyFill="1" applyBorder="1" applyAlignment="1">
      <alignment horizontal="center" vertical="center"/>
    </xf>
    <xf numFmtId="0" fontId="25" fillId="14" borderId="30" xfId="0" applyFont="1" applyFill="1" applyBorder="1" applyAlignment="1">
      <alignment horizontal="center" vertical="center"/>
    </xf>
    <xf numFmtId="0" fontId="25" fillId="14" borderId="31" xfId="0" applyFont="1" applyFill="1" applyBorder="1" applyAlignment="1">
      <alignment horizontal="center" vertical="center"/>
    </xf>
    <xf numFmtId="0" fontId="25" fillId="3" borderId="46" xfId="0" applyFont="1" applyFill="1" applyBorder="1" applyAlignment="1">
      <alignment horizontal="center" vertical="center"/>
    </xf>
    <xf numFmtId="0" fontId="25" fillId="3" borderId="47" xfId="0" applyFont="1" applyFill="1" applyBorder="1" applyAlignment="1">
      <alignment horizontal="center" vertical="center"/>
    </xf>
    <xf numFmtId="0" fontId="25" fillId="3" borderId="48" xfId="0" applyFont="1" applyFill="1" applyBorder="1" applyAlignment="1">
      <alignment horizontal="center" vertical="center"/>
    </xf>
    <xf numFmtId="0" fontId="27" fillId="4" borderId="13" xfId="0" applyFont="1" applyFill="1" applyBorder="1" applyAlignment="1">
      <alignment horizontal="center" vertical="center"/>
    </xf>
    <xf numFmtId="0" fontId="27" fillId="4" borderId="14" xfId="0" applyFont="1" applyFill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/>
    </xf>
    <xf numFmtId="0" fontId="28" fillId="13" borderId="37" xfId="0" applyFont="1" applyFill="1" applyBorder="1" applyAlignment="1">
      <alignment horizontal="center" vertical="center"/>
    </xf>
    <xf numFmtId="0" fontId="28" fillId="13" borderId="30" xfId="0" applyFont="1" applyFill="1" applyBorder="1" applyAlignment="1">
      <alignment horizontal="center" vertical="center"/>
    </xf>
    <xf numFmtId="0" fontId="28" fillId="13" borderId="31" xfId="0" applyFont="1" applyFill="1" applyBorder="1" applyAlignment="1">
      <alignment horizontal="center" vertical="center"/>
    </xf>
    <xf numFmtId="0" fontId="29" fillId="14" borderId="37" xfId="0" applyFont="1" applyFill="1" applyBorder="1" applyAlignment="1">
      <alignment horizontal="center" vertical="center"/>
    </xf>
    <xf numFmtId="0" fontId="29" fillId="14" borderId="30" xfId="0" applyFont="1" applyFill="1" applyBorder="1" applyAlignment="1">
      <alignment horizontal="center" vertical="center"/>
    </xf>
    <xf numFmtId="0" fontId="29" fillId="14" borderId="31" xfId="0" applyFont="1" applyFill="1" applyBorder="1" applyAlignment="1">
      <alignment horizontal="center" vertical="center"/>
    </xf>
    <xf numFmtId="0" fontId="28" fillId="15" borderId="16" xfId="0" applyFont="1" applyFill="1" applyBorder="1" applyAlignment="1">
      <alignment horizontal="center" vertical="center"/>
    </xf>
    <xf numFmtId="0" fontId="28" fillId="15" borderId="0" xfId="0" applyFont="1" applyFill="1" applyAlignment="1">
      <alignment horizontal="center" vertical="center"/>
    </xf>
    <xf numFmtId="0" fontId="28" fillId="15" borderId="17" xfId="0" applyFont="1" applyFill="1" applyBorder="1" applyAlignment="1">
      <alignment horizontal="center" vertical="center"/>
    </xf>
    <xf numFmtId="0" fontId="25" fillId="3" borderId="43" xfId="0" applyFont="1" applyFill="1" applyBorder="1" applyAlignment="1">
      <alignment horizontal="center" vertical="center"/>
    </xf>
    <xf numFmtId="0" fontId="25" fillId="3" borderId="44" xfId="0" applyFont="1" applyFill="1" applyBorder="1" applyAlignment="1">
      <alignment horizontal="center" vertical="center"/>
    </xf>
    <xf numFmtId="0" fontId="25" fillId="3" borderId="45" xfId="0" applyFont="1" applyFill="1" applyBorder="1" applyAlignment="1">
      <alignment horizontal="center" vertical="center"/>
    </xf>
    <xf numFmtId="0" fontId="23" fillId="22" borderId="52" xfId="0" applyFont="1" applyFill="1" applyBorder="1" applyAlignment="1">
      <alignment horizontal="center" vertical="center"/>
    </xf>
    <xf numFmtId="0" fontId="23" fillId="22" borderId="40" xfId="0" applyFont="1" applyFill="1" applyBorder="1" applyAlignment="1">
      <alignment horizontal="center" vertical="center"/>
    </xf>
    <xf numFmtId="0" fontId="23" fillId="22" borderId="41" xfId="0" applyFont="1" applyFill="1" applyBorder="1" applyAlignment="1">
      <alignment horizontal="center" vertical="center"/>
    </xf>
    <xf numFmtId="0" fontId="30" fillId="17" borderId="53" xfId="8" applyFont="1" applyFill="1" applyBorder="1" applyAlignment="1">
      <alignment horizontal="center" vertical="center"/>
    </xf>
    <xf numFmtId="0" fontId="30" fillId="17" borderId="40" xfId="8" applyFont="1" applyFill="1" applyBorder="1" applyAlignment="1">
      <alignment horizontal="center" vertical="center"/>
    </xf>
    <xf numFmtId="0" fontId="30" fillId="17" borderId="54" xfId="8" applyFont="1" applyFill="1" applyBorder="1" applyAlignment="1">
      <alignment horizontal="center" vertical="center"/>
    </xf>
    <xf numFmtId="0" fontId="25" fillId="12" borderId="13" xfId="0" applyFont="1" applyFill="1" applyBorder="1" applyAlignment="1">
      <alignment horizontal="center" vertical="center"/>
    </xf>
    <xf numFmtId="0" fontId="25" fillId="12" borderId="14" xfId="0" applyFont="1" applyFill="1" applyBorder="1" applyAlignment="1">
      <alignment horizontal="center" vertical="center"/>
    </xf>
    <xf numFmtId="0" fontId="25" fillId="12" borderId="15" xfId="0" applyFont="1" applyFill="1" applyBorder="1" applyAlignment="1">
      <alignment horizontal="center" vertical="center"/>
    </xf>
  </cellXfs>
  <cellStyles count="10">
    <cellStyle name="Accent4" xfId="9" builtinId="41"/>
    <cellStyle name="Day Off" xfId="3" xr:uid="{00000000-0005-0000-0000-000000000000}"/>
    <cellStyle name="Day Shift" xfId="2" xr:uid="{00000000-0005-0000-0000-000001000000}"/>
    <cellStyle name="Day/Night Shift" xfId="5" xr:uid="{00000000-0005-0000-0000-000002000000}"/>
    <cellStyle name="Holidays" xfId="6" xr:uid="{00000000-0005-0000-0000-000003000000}"/>
    <cellStyle name="Night Shift" xfId="4" xr:uid="{00000000-0005-0000-0000-000004000000}"/>
    <cellStyle name="Non Working" xfId="7" xr:uid="{00000000-0005-0000-0000-000005000000}"/>
    <cellStyle name="Normal" xfId="0" builtinId="0"/>
    <cellStyle name="Normal 2" xfId="1" xr:uid="{00000000-0005-0000-0000-000007000000}"/>
    <cellStyle name="Note" xfId="8" builtinId="10"/>
  </cellStyles>
  <dxfs count="0"/>
  <tableStyles count="0" defaultTableStyle="TableStyleMedium2" defaultPivotStyle="PivotStyleLight16"/>
  <colors>
    <mruColors>
      <color rgb="FFB2B2B2"/>
      <color rgb="FFF0FAFE"/>
      <color rgb="FFCEECFA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CalendarYear" max="2999" min="1900" page="10" val="2026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60960</xdr:colOff>
          <xdr:row>0</xdr:row>
          <xdr:rowOff>320040</xdr:rowOff>
        </xdr:from>
        <xdr:to>
          <xdr:col>33</xdr:col>
          <xdr:colOff>213360</xdr:colOff>
          <xdr:row>0</xdr:row>
          <xdr:rowOff>624840</xdr:rowOff>
        </xdr:to>
        <xdr:sp macro="" textlink="">
          <xdr:nvSpPr>
            <xdr:cNvPr id="1025" name="Spinner" descr="Use the spinner button to change calendar year or change the year in cell AE3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Shift Work Calendar">
  <a:themeElements>
    <a:clrScheme name="Letterhead-1">
      <a:dk1>
        <a:srgbClr val="000000"/>
      </a:dk1>
      <a:lt1>
        <a:srgbClr val="FFFFFF"/>
      </a:lt1>
      <a:dk2>
        <a:srgbClr val="5E5E5E"/>
      </a:dk2>
      <a:lt2>
        <a:srgbClr val="D6D5D5"/>
      </a:lt2>
      <a:accent1>
        <a:srgbClr val="DF2D25"/>
      </a:accent1>
      <a:accent2>
        <a:srgbClr val="F9D423"/>
      </a:accent2>
      <a:accent3>
        <a:srgbClr val="62C99E"/>
      </a:accent3>
      <a:accent4>
        <a:srgbClr val="45B9EC"/>
      </a:accent4>
      <a:accent5>
        <a:srgbClr val="9B4BA6"/>
      </a:accent5>
      <a:accent6>
        <a:srgbClr val="EF2F94"/>
      </a:accent6>
      <a:hlink>
        <a:srgbClr val="0000FF"/>
      </a:hlink>
      <a:folHlink>
        <a:srgbClr val="FF00FF"/>
      </a:folHlink>
    </a:clrScheme>
    <a:fontScheme name="Franklin Gothic">
      <a:majorFont>
        <a:latin typeface="Franklin Gothic Medium" panose="020B0603020102020204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Whit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38100" tIns="38100" rIns="38100" bIns="381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30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38100" dist="12700" dir="5400000" rotWithShape="0">
                <a:srgbClr val="000000">
                  <a:alpha val="50000"/>
                </a:srgbClr>
              </a:outerShdw>
            </a:effectLst>
            <a:uFillTx/>
            <a:latin typeface="+mn-lt"/>
            <a:ea typeface="+mn-ea"/>
            <a:cs typeface="+mn-cs"/>
            <a:sym typeface="Gill Sans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381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32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Gill Sans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  <a:extLst>
    <a:ext uri="{05A4C25C-085E-4340-85A3-A5531E510DB2}">
      <thm15:themeFamily xmlns:thm15="http://schemas.microsoft.com/office/thememl/2012/main" name=" ShiftCalendar" id="{C0C15053-41A7-A842-8BD5-207B5038EBEC}" vid="{EDF4B661-04CF-B74B-852D-F3AE147C5ED3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87"/>
  <sheetViews>
    <sheetView showGridLines="0" tabSelected="1" zoomScale="80" zoomScaleNormal="80" workbookViewId="0">
      <selection activeCell="Q3" sqref="Q3:S3"/>
    </sheetView>
  </sheetViews>
  <sheetFormatPr defaultColWidth="0" defaultRowHeight="19.05" customHeight="1" x14ac:dyDescent="0.35"/>
  <cols>
    <col min="1" max="1" width="1.7265625" style="6" customWidth="1"/>
    <col min="2" max="2" width="26.81640625" style="6" customWidth="1"/>
    <col min="3" max="39" width="3.26953125" style="6" customWidth="1"/>
    <col min="40" max="40" width="1.7265625" style="6" customWidth="1"/>
    <col min="41" max="16384" width="8.81640625" style="6" hidden="1"/>
  </cols>
  <sheetData>
    <row r="1" spans="2:39" s="1" customFormat="1" ht="65.25" customHeight="1" x14ac:dyDescent="1.1000000000000001">
      <c r="B1" s="2" t="s">
        <v>7</v>
      </c>
      <c r="C1" s="3"/>
      <c r="D1" s="3"/>
      <c r="E1" s="3"/>
      <c r="F1" s="3"/>
      <c r="G1" s="3"/>
      <c r="H1" s="3"/>
      <c r="I1" s="3"/>
      <c r="J1" s="3"/>
      <c r="K1" s="3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15"/>
      <c r="AH1" s="69">
        <v>2026</v>
      </c>
      <c r="AI1" s="69"/>
      <c r="AJ1" s="69"/>
      <c r="AK1" s="69"/>
      <c r="AL1" s="69"/>
      <c r="AM1" s="69"/>
    </row>
    <row r="2" spans="2:39" customFormat="1" ht="9" customHeight="1" x14ac:dyDescent="0.35"/>
    <row r="3" spans="2:39" customFormat="1" ht="19.05" customHeight="1" x14ac:dyDescent="0.35">
      <c r="F3" s="6"/>
      <c r="G3" t="s">
        <v>35</v>
      </c>
      <c r="I3" s="62"/>
      <c r="K3" s="77" t="s">
        <v>32</v>
      </c>
      <c r="L3" s="78"/>
      <c r="M3" s="79"/>
      <c r="N3" s="54"/>
      <c r="Q3" s="80" t="s">
        <v>33</v>
      </c>
      <c r="R3" s="81"/>
      <c r="S3" s="82"/>
      <c r="T3" s="55"/>
      <c r="AA3" s="67" t="s">
        <v>26</v>
      </c>
      <c r="AB3" s="67"/>
      <c r="AC3" s="67"/>
      <c r="AD3" s="68"/>
      <c r="AE3" s="24"/>
      <c r="AF3" s="6"/>
      <c r="AG3" s="6"/>
      <c r="AH3" s="6"/>
      <c r="AI3" s="6"/>
      <c r="AJ3" s="6"/>
      <c r="AK3" s="6"/>
      <c r="AL3" s="6"/>
      <c r="AM3" s="6"/>
    </row>
    <row r="4" spans="2:39" customFormat="1" ht="9" customHeight="1" x14ac:dyDescent="0.35"/>
    <row r="5" spans="2:39" s="10" customFormat="1" ht="19.05" customHeight="1" x14ac:dyDescent="0.35">
      <c r="B5" s="65">
        <f>DATE(CalendarYear,1,1)</f>
        <v>46023</v>
      </c>
      <c r="C5" s="12" t="str">
        <f>IF(DAY(JanSun1)=1,"",IF(AND(YEAR(JanSun1+1)=CalendarYear,MONTH(JanSun1+1)=1),JanSun1+1,""))</f>
        <v/>
      </c>
      <c r="D5" s="12" t="str">
        <f>IF(DAY(JanSun1)=1,"",IF(AND(YEAR(JanSun1+2)=CalendarYear,MONTH(JanSun1+2)=1),JanSun1+2,""))</f>
        <v/>
      </c>
      <c r="E5" s="12" t="str">
        <f>IF(DAY(JanSun1)=1,"",IF(AND(YEAR(JanSun1+3)=CalendarYear,MONTH(JanSun1+3)=1),JanSun1+3,""))</f>
        <v/>
      </c>
      <c r="F5" s="12" t="str">
        <f>IF(DAY(JanSun1)=1,"",IF(AND(YEAR(JanSun1+4)=CalendarYear,MONTH(JanSun1+4)=1),JanSun1+4,""))</f>
        <v/>
      </c>
      <c r="G5" s="12">
        <f>IF(DAY(JanSun1)=1,"",IF(AND(YEAR(JanSun1+5)=CalendarYear,MONTH(JanSun1+5)=1),JanSun1+5,""))</f>
        <v>46023</v>
      </c>
      <c r="H5" s="12">
        <f>IF(DAY(JanSun1)=1,"",IF(AND(YEAR(JanSun1+6)=CalendarYear,MONTH(JanSun1+6)=1),JanSun1+6,""))</f>
        <v>46024</v>
      </c>
      <c r="I5" s="12">
        <f>IF(DAY(JanSun1)=1,IF(AND(YEAR(JanSun1)=CalendarYear,MONTH(JanSun1)=1),JanSun1,""),IF(AND(YEAR(JanSun1+7)=CalendarYear,MONTH(JanSun1+7)=1),JanSun1+7,""))</f>
        <v>46025</v>
      </c>
      <c r="J5" s="12">
        <f>IF(DAY(JanSun1)=1,IF(AND(YEAR(JanSun1+1)=CalendarYear,MONTH(JanSun1+1)=1),JanSun1+1,""),IF(AND(YEAR(JanSun1+8)=CalendarYear,MONTH(JanSun1+8)=1),JanSun1+8,""))</f>
        <v>46026</v>
      </c>
      <c r="K5" s="12">
        <f>IF(DAY(JanSun1)=1,IF(AND(YEAR(JanSun1+2)=CalendarYear,MONTH(JanSun1+2)=1),JanSun1+2,""),IF(AND(YEAR(JanSun1+9)=CalendarYear,MONTH(JanSun1+9)=1),JanSun1+9,""))</f>
        <v>46027</v>
      </c>
      <c r="L5" s="12">
        <f>IF(DAY(JanSun1)=1,IF(AND(YEAR(JanSun1+3)=CalendarYear,MONTH(JanSun1+3)=1),JanSun1+3,""),IF(AND(YEAR(JanSun1+10)=CalendarYear,MONTH(JanSun1+10)=1),JanSun1+10,""))</f>
        <v>46028</v>
      </c>
      <c r="M5" s="12">
        <f>IF(DAY(JanSun1)=1,IF(AND(YEAR(JanSun1+4)=CalendarYear,MONTH(JanSun1+4)=1),JanSun1+4,""),IF(AND(YEAR(JanSun1+11)=CalendarYear,MONTH(JanSun1+11)=1),JanSun1+11,""))</f>
        <v>46029</v>
      </c>
      <c r="N5" s="12">
        <f>IF(DAY(JanSun1)=1,IF(AND(YEAR(JanSun1+5)=CalendarYear,MONTH(JanSun1+5)=1),JanSun1+5,""),IF(AND(YEAR(JanSun1+12)=CalendarYear,MONTH(JanSun1+12)=1),JanSun1+12,""))</f>
        <v>46030</v>
      </c>
      <c r="O5" s="12">
        <f>IF(DAY(JanSun1)=1,IF(AND(YEAR(JanSun1+6)=CalendarYear,MONTH(JanSun1+6)=1),JanSun1+6,""),IF(AND(YEAR(JanSun1+13)=CalendarYear,MONTH(JanSun1+13)=1),JanSun1+13,""))</f>
        <v>46031</v>
      </c>
      <c r="P5" s="12">
        <f>IF(DAY(JanSun1)=1,IF(AND(YEAR(JanSun1+7)=CalendarYear,MONTH(JanSun1+7)=1),JanSun1+7,""),IF(AND(YEAR(JanSun1+14)=CalendarYear,MONTH(JanSun1+14)=1),JanSun1+14,""))</f>
        <v>46032</v>
      </c>
      <c r="Q5" s="12">
        <f>IF(DAY(JanSun1)=1,IF(AND(YEAR(JanSun1+8)=CalendarYear,MONTH(JanSun1+8)=1),JanSun1+8,""),IF(AND(YEAR(JanSun1+15)=CalendarYear,MONTH(JanSun1+15)=1),JanSun1+15,""))</f>
        <v>46033</v>
      </c>
      <c r="R5" s="12">
        <f>IF(DAY(JanSun1)=1,IF(AND(YEAR(JanSun1+9)=CalendarYear,MONTH(JanSun1+9)=1),JanSun1+9,""),IF(AND(YEAR(JanSun1+16)=CalendarYear,MONTH(JanSun1+16)=1),JanSun1+16,""))</f>
        <v>46034</v>
      </c>
      <c r="S5" s="12">
        <f>IF(DAY(JanSun1)=1,IF(AND(YEAR(JanSun1+10)=CalendarYear,MONTH(JanSun1+10)=1),JanSun1+10,""),IF(AND(YEAR(JanSun1+17)=CalendarYear,MONTH(JanSun1+17)=1),JanSun1+17,""))</f>
        <v>46035</v>
      </c>
      <c r="T5" s="12">
        <f>IF(DAY(JanSun1)=1,IF(AND(YEAR(JanSun1+11)=CalendarYear,MONTH(JanSun1+11)=1),JanSun1+11,""),IF(AND(YEAR(JanSun1+18)=CalendarYear,MONTH(JanSun1+18)=1),JanSun1+18,""))</f>
        <v>46036</v>
      </c>
      <c r="U5" s="12">
        <f>IF(DAY(JanSun1)=1,IF(AND(YEAR(JanSun1+12)=CalendarYear,MONTH(JanSun1+12)=1),JanSun1+12,""),IF(AND(YEAR(JanSun1+19)=CalendarYear,MONTH(JanSun1+19)=1),JanSun1+19,""))</f>
        <v>46037</v>
      </c>
      <c r="V5" s="12">
        <f>IF(DAY(JanSun1)=1,IF(AND(YEAR(JanSun1+13)=CalendarYear,MONTH(JanSun1+13)=1),JanSun1+13,""),IF(AND(YEAR(JanSun1+20)=CalendarYear,MONTH(JanSun1+20)=1),JanSun1+20,""))</f>
        <v>46038</v>
      </c>
      <c r="W5" s="12">
        <f>IF(DAY(JanSun1)=1,IF(AND(YEAR(JanSun1+14)=CalendarYear,MONTH(JanSun1+14)=1),JanSun1+14,""),IF(AND(YEAR(JanSun1+21)=CalendarYear,MONTH(JanSun1+21)=1),JanSun1+21,""))</f>
        <v>46039</v>
      </c>
      <c r="X5" s="12">
        <f>IF(DAY(JanSun1)=1,IF(AND(YEAR(JanSun1+15)=CalendarYear,MONTH(JanSun1+15)=1),JanSun1+15,""),IF(AND(YEAR(JanSun1+22)=CalendarYear,MONTH(JanSun1+22)=1),JanSun1+22,""))</f>
        <v>46040</v>
      </c>
      <c r="Y5" s="12">
        <f>IF(DAY(JanSun1)=1,IF(AND(YEAR(JanSun1+16)=CalendarYear,MONTH(JanSun1+16)=1),JanSun1+16,""),IF(AND(YEAR(JanSun1+23)=CalendarYear,MONTH(JanSun1+23)=1),JanSun1+23,""))</f>
        <v>46041</v>
      </c>
      <c r="Z5" s="12">
        <f>IF(DAY(JanSun1)=1,IF(AND(YEAR(JanSun1+17)=CalendarYear,MONTH(JanSun1+17)=1),JanSun1+17,""),IF(AND(YEAR(JanSun1+24)=CalendarYear,MONTH(JanSun1+24)=1),JanSun1+24,""))</f>
        <v>46042</v>
      </c>
      <c r="AA5" s="12">
        <f>IF(DAY(JanSun1)=1,IF(AND(YEAR(JanSun1+18)=CalendarYear,MONTH(JanSun1+18)=1),JanSun1+18,""),IF(AND(YEAR(JanSun1+25)=CalendarYear,MONTH(JanSun1+25)=1),JanSun1+25,""))</f>
        <v>46043</v>
      </c>
      <c r="AB5" s="12">
        <f>IF(DAY(JanSun1)=1,IF(AND(YEAR(JanSun1+19)=CalendarYear,MONTH(JanSun1+19)=1),JanSun1+19,""),IF(AND(YEAR(JanSun1+26)=CalendarYear,MONTH(JanSun1+26)=1),JanSun1+26,""))</f>
        <v>46044</v>
      </c>
      <c r="AC5" s="12">
        <f>IF(DAY(JanSun1)=1,IF(AND(YEAR(JanSun1+20)=CalendarYear,MONTH(JanSun1+20)=1),JanSun1+20,""),IF(AND(YEAR(JanSun1+27)=CalendarYear,MONTH(JanSun1+27)=1),JanSun1+27,""))</f>
        <v>46045</v>
      </c>
      <c r="AD5" s="12">
        <f>IF(DAY(JanSun1)=1,IF(AND(YEAR(JanSun1+21)=CalendarYear,MONTH(JanSun1+21)=1),JanSun1+21,""),IF(AND(YEAR(JanSun1+28)=CalendarYear,MONTH(JanSun1+28)=1),JanSun1+28,""))</f>
        <v>46046</v>
      </c>
      <c r="AE5" s="12">
        <f>IF(DAY(JanSun1)=1,IF(AND(YEAR(JanSun1+22)=CalendarYear,MONTH(JanSun1+22)=1),JanSun1+22,""),IF(AND(YEAR(JanSun1+29)=CalendarYear,MONTH(JanSun1+29)=1),JanSun1+29,""))</f>
        <v>46047</v>
      </c>
      <c r="AF5" s="12">
        <f>IF(DAY(JanSun1)=1,IF(AND(YEAR(JanSun1+23)=CalendarYear,MONTH(JanSun1+23)=1),JanSun1+23,""),IF(AND(YEAR(JanSun1+30)=CalendarYear,MONTH(JanSun1+30)=1),JanSun1+30,""))</f>
        <v>46048</v>
      </c>
      <c r="AG5" s="12">
        <f>IF(DAY(JanSun1)=1,IF(AND(YEAR(JanSun1+24)=CalendarYear,MONTH(JanSun1+24)=1),JanSun1+24,""),IF(AND(YEAR(JanSun1+31)=CalendarYear,MONTH(JanSun1+31)=1),JanSun1+31,""))</f>
        <v>46049</v>
      </c>
      <c r="AH5" s="12">
        <f>IF(DAY(JanSun1)=1,IF(AND(YEAR(JanSun1+25)=CalendarYear,MONTH(JanSun1+25)=1),JanSun1+25,""),IF(AND(YEAR(JanSun1+32)=CalendarYear,MONTH(JanSun1+32)=1),JanSun1+32,""))</f>
        <v>46050</v>
      </c>
      <c r="AI5" s="12">
        <f>IF(DAY(JanSun1)=1,IF(AND(YEAR(JanSun1+26)=CalendarYear,MONTH(JanSun1+26)=1),JanSun1+26,""),IF(AND(YEAR(JanSun1+33)=CalendarYear,MONTH(JanSun1+33)=1),JanSun1+33,""))</f>
        <v>46051</v>
      </c>
      <c r="AJ5" s="12">
        <f>IF(DAY(JanSun1)=1,IF(AND(YEAR(JanSun1+27)=CalendarYear,MONTH(JanSun1+27)=1),JanSun1+27,""),IF(AND(YEAR(JanSun1+34)=CalendarYear,MONTH(JanSun1+34)=1),JanSun1+34,""))</f>
        <v>46052</v>
      </c>
      <c r="AK5" s="12">
        <f>IF(DAY(JanSun1)=1,IF(AND(YEAR(JanSun1+28)=CalendarYear,MONTH(JanSun1+28)=1),JanSun1+28,""),IF(AND(YEAR(JanSun1+35)=CalendarYear,MONTH(JanSun1+35)=1),JanSun1+35,""))</f>
        <v>46053</v>
      </c>
      <c r="AL5" s="12" t="str">
        <f>IF(DAY(JanSun1)=1,IF(AND(YEAR(JanSun1+29)=CalendarYear,MONTH(JanSun1+29)=1),JanSun1+29,""),IF(AND(YEAR(JanSun1+36)=CalendarYear,MONTH(JanSun1+36)=1),JanSun1+36,""))</f>
        <v/>
      </c>
      <c r="AM5" s="13" t="str">
        <f>IF(DAY(JanSun1)=1,IF(AND(YEAR(JanSun1+30)=CalendarYear,MONTH(JanSun1+30)=1),JanSun1+30,""),IF(AND(YEAR(JanSun1+37)=CalendarYear,MONTH(JanSun1+37)=1),JanSun1+37,""))</f>
        <v/>
      </c>
    </row>
    <row r="6" spans="2:39" s="10" customFormat="1" ht="19.05" customHeight="1" x14ac:dyDescent="0.35">
      <c r="B6" s="66"/>
      <c r="C6" s="11" t="s">
        <v>0</v>
      </c>
      <c r="D6" s="11" t="s">
        <v>1</v>
      </c>
      <c r="E6" s="11" t="s">
        <v>2</v>
      </c>
      <c r="F6" s="11" t="s">
        <v>3</v>
      </c>
      <c r="G6" s="11" t="s">
        <v>4</v>
      </c>
      <c r="H6" s="11" t="s">
        <v>5</v>
      </c>
      <c r="I6" s="11" t="s">
        <v>6</v>
      </c>
      <c r="J6" s="11" t="s">
        <v>0</v>
      </c>
      <c r="K6" s="11" t="s">
        <v>1</v>
      </c>
      <c r="L6" s="11" t="s">
        <v>2</v>
      </c>
      <c r="M6" s="11" t="s">
        <v>3</v>
      </c>
      <c r="N6" s="11" t="s">
        <v>4</v>
      </c>
      <c r="O6" s="11" t="s">
        <v>5</v>
      </c>
      <c r="P6" s="11" t="s">
        <v>6</v>
      </c>
      <c r="Q6" s="11" t="s">
        <v>0</v>
      </c>
      <c r="R6" s="11" t="s">
        <v>1</v>
      </c>
      <c r="S6" s="11" t="s">
        <v>2</v>
      </c>
      <c r="T6" s="11" t="s">
        <v>3</v>
      </c>
      <c r="U6" s="11" t="s">
        <v>4</v>
      </c>
      <c r="V6" s="11" t="s">
        <v>5</v>
      </c>
      <c r="W6" s="11" t="s">
        <v>6</v>
      </c>
      <c r="X6" s="11" t="s">
        <v>0</v>
      </c>
      <c r="Y6" s="20" t="s">
        <v>1</v>
      </c>
      <c r="Z6" s="20" t="s">
        <v>2</v>
      </c>
      <c r="AA6" s="20" t="s">
        <v>3</v>
      </c>
      <c r="AB6" s="20" t="s">
        <v>4</v>
      </c>
      <c r="AC6" s="20" t="s">
        <v>5</v>
      </c>
      <c r="AD6" s="11" t="s">
        <v>6</v>
      </c>
      <c r="AE6" s="11" t="s">
        <v>0</v>
      </c>
      <c r="AF6" s="11" t="s">
        <v>1</v>
      </c>
      <c r="AG6" s="11" t="s">
        <v>2</v>
      </c>
      <c r="AH6" s="11" t="s">
        <v>3</v>
      </c>
      <c r="AI6" s="11" t="s">
        <v>4</v>
      </c>
      <c r="AJ6" s="11" t="s">
        <v>5</v>
      </c>
      <c r="AK6" s="11" t="s">
        <v>6</v>
      </c>
      <c r="AL6" s="11" t="s">
        <v>0</v>
      </c>
      <c r="AM6" s="14" t="s">
        <v>1</v>
      </c>
    </row>
    <row r="7" spans="2:39" ht="18" customHeight="1" thickBot="1" x14ac:dyDescent="0.4">
      <c r="B7" s="36" t="s">
        <v>29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30"/>
      <c r="Y7" s="70" t="s">
        <v>8</v>
      </c>
      <c r="Z7" s="70"/>
      <c r="AA7" s="70"/>
      <c r="AB7" s="70"/>
      <c r="AC7" s="70"/>
      <c r="AD7" s="31"/>
      <c r="AE7" s="28"/>
      <c r="AF7" s="28"/>
      <c r="AG7" s="28"/>
      <c r="AH7" s="28"/>
      <c r="AI7" s="28"/>
      <c r="AJ7" s="28"/>
      <c r="AK7" s="28"/>
      <c r="AL7" s="28"/>
      <c r="AM7" s="28"/>
    </row>
    <row r="8" spans="2:39" ht="18" customHeight="1" thickTop="1" thickBot="1" x14ac:dyDescent="0.4">
      <c r="B8" s="46" t="s">
        <v>28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8"/>
    </row>
    <row r="9" spans="2:39" ht="19.05" customHeight="1" thickTop="1" x14ac:dyDescent="0.35">
      <c r="B9" s="8" t="s">
        <v>25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25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</row>
    <row r="10" spans="2:39" ht="19.05" customHeight="1" x14ac:dyDescent="0.35">
      <c r="B10" s="9" t="s">
        <v>27</v>
      </c>
      <c r="C10" s="17"/>
      <c r="D10" s="17"/>
      <c r="E10" s="17"/>
      <c r="F10" s="17"/>
      <c r="G10" s="25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2:39" ht="12" customHeight="1" x14ac:dyDescent="0.35"/>
    <row r="12" spans="2:39" s="7" customFormat="1" ht="19.05" customHeight="1" x14ac:dyDescent="0.35">
      <c r="B12" s="65">
        <f>DATE(CalendarYear,2,1)</f>
        <v>46054</v>
      </c>
      <c r="C12" s="12">
        <f>IF(DAY(FebSun1)=1,"",IF(AND(YEAR(FebSun1+1)=CalendarYear,MONTH(FebSun1+1)=2),FebSun1+1,""))</f>
        <v>46054</v>
      </c>
      <c r="D12" s="12">
        <f>IF(DAY(FebSun1)=1,"",IF(AND(YEAR(FebSun1+2)=CalendarYear,MONTH(FebSun1+2)=2),FebSun1+2,""))</f>
        <v>46055</v>
      </c>
      <c r="E12" s="12">
        <f>IF(DAY(FebSun1)=1,"",IF(AND(YEAR(FebSun1+3)=CalendarYear,MONTH(FebSun1+3)=2),FebSun1+3,""))</f>
        <v>46056</v>
      </c>
      <c r="F12" s="12">
        <f>IF(DAY(FebSun1)=1,"",IF(AND(YEAR(FebSun1+4)=CalendarYear,MONTH(FebSun1+4)=2),FebSun1+4,""))</f>
        <v>46057</v>
      </c>
      <c r="G12" s="12">
        <f>IF(DAY(FebSun1)=1,"",IF(AND(YEAR(FebSun1+5)=CalendarYear,MONTH(FebSun1+5)=2),FebSun1+5,""))</f>
        <v>46058</v>
      </c>
      <c r="H12" s="12">
        <f>IF(DAY(FebSun1)=1,"",IF(AND(YEAR(FebSun1+6)=CalendarYear,MONTH(FebSun1+6)=2),FebSun1+6,""))</f>
        <v>46059</v>
      </c>
      <c r="I12" s="12">
        <f>IF(DAY(FebSun1)=1,IF(AND(YEAR(FebSun1)=CalendarYear,MONTH(FebSun1)=2),FebSun1,""),IF(AND(YEAR(FebSun1+7)=CalendarYear,MONTH(FebSun1+7)=2),FebSun1+7,""))</f>
        <v>46060</v>
      </c>
      <c r="J12" s="12">
        <f>IF(DAY(FebSun1)=1,IF(AND(YEAR(FebSun1+1)=CalendarYear,MONTH(FebSun1+1)=2),FebSun1+1,""),IF(AND(YEAR(FebSun1+8)=CalendarYear,MONTH(FebSun1+8)=2),FebSun1+8,""))</f>
        <v>46061</v>
      </c>
      <c r="K12" s="12">
        <f>IF(DAY(FebSun1)=1,IF(AND(YEAR(FebSun1+2)=CalendarYear,MONTH(FebSun1+2)=2),FebSun1+2,""),IF(AND(YEAR(FebSun1+9)=CalendarYear,MONTH(FebSun1+9)=2),FebSun1+9,""))</f>
        <v>46062</v>
      </c>
      <c r="L12" s="12">
        <f>IF(DAY(FebSun1)=1,IF(AND(YEAR(FebSun1+3)=CalendarYear,MONTH(FebSun1+3)=2),FebSun1+3,""),IF(AND(YEAR(FebSun1+10)=CalendarYear,MONTH(FebSun1+10)=2),FebSun1+10,""))</f>
        <v>46063</v>
      </c>
      <c r="M12" s="12">
        <f>IF(DAY(FebSun1)=1,IF(AND(YEAR(FebSun1+4)=CalendarYear,MONTH(FebSun1+4)=2),FebSun1+4,""),IF(AND(YEAR(FebSun1+11)=CalendarYear,MONTH(FebSun1+11)=2),FebSun1+11,""))</f>
        <v>46064</v>
      </c>
      <c r="N12" s="12">
        <f>IF(DAY(FebSun1)=1,IF(AND(YEAR(FebSun1+5)=CalendarYear,MONTH(FebSun1+5)=2),FebSun1+5,""),IF(AND(YEAR(FebSun1+12)=CalendarYear,MONTH(FebSun1+12)=2),FebSun1+12,""))</f>
        <v>46065</v>
      </c>
      <c r="O12" s="12">
        <f>IF(DAY(FebSun1)=1,IF(AND(YEAR(FebSun1+6)=CalendarYear,MONTH(FebSun1+6)=2),FebSun1+6,""),IF(AND(YEAR(FebSun1+13)=CalendarYear,MONTH(FebSun1+13)=2),FebSun1+13,""))</f>
        <v>46066</v>
      </c>
      <c r="P12" s="12">
        <f>IF(DAY(FebSun1)=1,IF(AND(YEAR(FebSun1+7)=CalendarYear,MONTH(FebSun1+7)=2),FebSun1+7,""),IF(AND(YEAR(FebSun1+14)=CalendarYear,MONTH(FebSun1+14)=2),FebSun1+14,""))</f>
        <v>46067</v>
      </c>
      <c r="Q12" s="12">
        <f>IF(DAY(FebSun1)=1,IF(AND(YEAR(FebSun1+8)=CalendarYear,MONTH(FebSun1+8)=2),FebSun1+8,""),IF(AND(YEAR(FebSun1+15)=CalendarYear,MONTH(FebSun1+15)=2),FebSun1+15,""))</f>
        <v>46068</v>
      </c>
      <c r="R12" s="12">
        <f>IF(DAY(FebSun1)=1,IF(AND(YEAR(FebSun1+9)=CalendarYear,MONTH(FebSun1+9)=2),FebSun1+9,""),IF(AND(YEAR(FebSun1+16)=CalendarYear,MONTH(FebSun1+16)=2),FebSun1+16,""))</f>
        <v>46069</v>
      </c>
      <c r="S12" s="12">
        <f>IF(DAY(FebSun1)=1,IF(AND(YEAR(FebSun1+10)=CalendarYear,MONTH(FebSun1+10)=2),FebSun1+10,""),IF(AND(YEAR(FebSun1+17)=CalendarYear,MONTH(FebSun1+17)=2),FebSun1+17,""))</f>
        <v>46070</v>
      </c>
      <c r="T12" s="12">
        <f>IF(DAY(FebSun1)=1,IF(AND(YEAR(FebSun1+11)=CalendarYear,MONTH(FebSun1+11)=2),FebSun1+11,""),IF(AND(YEAR(FebSun1+18)=CalendarYear,MONTH(FebSun1+18)=2),FebSun1+18,""))</f>
        <v>46071</v>
      </c>
      <c r="U12" s="12">
        <f>IF(DAY(FebSun1)=1,IF(AND(YEAR(FebSun1+12)=CalendarYear,MONTH(FebSun1+12)=2),FebSun1+12,""),IF(AND(YEAR(FebSun1+19)=CalendarYear,MONTH(FebSun1+19)=2),FebSun1+19,""))</f>
        <v>46072</v>
      </c>
      <c r="V12" s="12">
        <f>IF(DAY(FebSun1)=1,IF(AND(YEAR(FebSun1+13)=CalendarYear,MONTH(FebSun1+13)=2),FebSun1+13,""),IF(AND(YEAR(FebSun1+20)=CalendarYear,MONTH(FebSun1+20)=2),FebSun1+20,""))</f>
        <v>46073</v>
      </c>
      <c r="W12" s="12">
        <f>IF(DAY(FebSun1)=1,IF(AND(YEAR(FebSun1+14)=CalendarYear,MONTH(FebSun1+14)=2),FebSun1+14,""),IF(AND(YEAR(FebSun1+21)=CalendarYear,MONTH(FebSun1+21)=2),FebSun1+21,""))</f>
        <v>46074</v>
      </c>
      <c r="X12" s="12">
        <f>IF(DAY(FebSun1)=1,IF(AND(YEAR(FebSun1+15)=CalendarYear,MONTH(FebSun1+15)=2),FebSun1+15,""),IF(AND(YEAR(FebSun1+22)=CalendarYear,MONTH(FebSun1+22)=2),FebSun1+22,""))</f>
        <v>46075</v>
      </c>
      <c r="Y12" s="12">
        <f>IF(DAY(FebSun1)=1,IF(AND(YEAR(FebSun1+16)=CalendarYear,MONTH(FebSun1+16)=2),FebSun1+16,""),IF(AND(YEAR(FebSun1+23)=CalendarYear,MONTH(FebSun1+23)=2),FebSun1+23,""))</f>
        <v>46076</v>
      </c>
      <c r="Z12" s="12">
        <f>IF(DAY(FebSun1)=1,IF(AND(YEAR(FebSun1+17)=CalendarYear,MONTH(FebSun1+17)=2),FebSun1+17,""),IF(AND(YEAR(FebSun1+24)=CalendarYear,MONTH(FebSun1+24)=2),FebSun1+24,""))</f>
        <v>46077</v>
      </c>
      <c r="AA12" s="12">
        <f>IF(DAY(FebSun1)=1,IF(AND(YEAR(FebSun1+18)=CalendarYear,MONTH(FebSun1+18)=2),FebSun1+18,""),IF(AND(YEAR(FebSun1+25)=CalendarYear,MONTH(FebSun1+25)=2),FebSun1+25,""))</f>
        <v>46078</v>
      </c>
      <c r="AB12" s="12">
        <f>IF(DAY(FebSun1)=1,IF(AND(YEAR(FebSun1+19)=CalendarYear,MONTH(FebSun1+19)=2),FebSun1+19,""),IF(AND(YEAR(FebSun1+26)=CalendarYear,MONTH(FebSun1+26)=2),FebSun1+26,""))</f>
        <v>46079</v>
      </c>
      <c r="AC12" s="12">
        <f>IF(DAY(FebSun1)=1,IF(AND(YEAR(FebSun1+20)=CalendarYear,MONTH(FebSun1+20)=2),FebSun1+20,""),IF(AND(YEAR(FebSun1+27)=CalendarYear,MONTH(FebSun1+27)=2),FebSun1+27,""))</f>
        <v>46080</v>
      </c>
      <c r="AD12" s="12">
        <f>IF(DAY(FebSun1)=1,IF(AND(YEAR(FebSun1+21)=CalendarYear,MONTH(FebSun1+21)=2),FebSun1+21,""),IF(AND(YEAR(FebSun1+28)=CalendarYear,MONTH(FebSun1+28)=2),FebSun1+28,""))</f>
        <v>46081</v>
      </c>
      <c r="AE12" s="12" t="str">
        <f>IF(DAY(FebSun1)=1,IF(AND(YEAR(FebSun1+22)=CalendarYear,MONTH(FebSun1+22)=2),FebSun1+22,""),IF(AND(YEAR(FebSun1+29)=CalendarYear,MONTH(FebSun1+29)=2),FebSun1+29,""))</f>
        <v/>
      </c>
      <c r="AF12" s="12" t="str">
        <f>IF(DAY(FebSun1)=1,IF(AND(YEAR(FebSun1+23)=CalendarYear,MONTH(FebSun1+23)=2),FebSun1+23,""),IF(AND(YEAR(FebSun1+30)=CalendarYear,MONTH(FebSun1+30)=2),FebSun1+30,""))</f>
        <v/>
      </c>
      <c r="AG12" s="12" t="str">
        <f>IF(DAY(FebSun1)=1,IF(AND(YEAR(FebSun1+24)=CalendarYear,MONTH(FebSun1+24)=2),FebSun1+24,""),IF(AND(YEAR(FebSun1+31)=CalendarYear,MONTH(FebSun1+31)=2),FebSun1+31,""))</f>
        <v/>
      </c>
      <c r="AH12" s="12" t="str">
        <f>IF(DAY(FebSun1)=1,IF(AND(YEAR(FebSun1+25)=CalendarYear,MONTH(FebSun1+25)=2),FebSun1+25,""),IF(AND(YEAR(FebSun1+32)=CalendarYear,MONTH(FebSun1+32)=2),FebSun1+32,""))</f>
        <v/>
      </c>
      <c r="AI12" s="12" t="str">
        <f>IF(DAY(FebSun1)=1,IF(AND(YEAR(FebSun1+26)=CalendarYear,MONTH(FebSun1+26)=2),FebSun1+26,""),IF(AND(YEAR(FebSun1+33)=CalendarYear,MONTH(FebSun1+33)=2),FebSun1+33,""))</f>
        <v/>
      </c>
      <c r="AJ12" s="12" t="str">
        <f>IF(DAY(FebSun1)=1,IF(AND(YEAR(FebSun1+27)=CalendarYear,MONTH(FebSun1+27)=2),FebSun1+27,""),IF(AND(YEAR(FebSun1+34)=CalendarYear,MONTH(FebSun1+34)=2),FebSun1+34,""))</f>
        <v/>
      </c>
      <c r="AK12" s="12" t="str">
        <f>IF(DAY(FebSun1)=1,IF(AND(YEAR(FebSun1+28)=CalendarYear,MONTH(FebSun1+28)=2),FebSun1+28,""),IF(AND(YEAR(FebSun1+35)=CalendarYear,MONTH(FebSun1+35)=2),FebSun1+35,""))</f>
        <v/>
      </c>
      <c r="AL12" s="12" t="str">
        <f>IF(DAY(FebSun1)=1,IF(AND(YEAR(FebSun1+29)=CalendarYear,MONTH(FebSun1+29)=2),FebSun1+29,""),IF(AND(YEAR(FebSun1+36)=CalendarYear,MONTH(FebSun1+36)=2),FebSun1+36,""))</f>
        <v/>
      </c>
      <c r="AM12" s="13" t="str">
        <f>IF(DAY(FebSun1)=1,IF(AND(YEAR(FebSun1+30)=CalendarYear,MONTH(FebSun1+30)=2),FebSun1+30,""),IF(AND(YEAR(FebSun1+37)=CalendarYear,MONTH(FebSun1+37)=2),FebSun1+37,""))</f>
        <v/>
      </c>
    </row>
    <row r="13" spans="2:39" s="7" customFormat="1" ht="19.05" customHeight="1" thickBot="1" x14ac:dyDescent="0.4">
      <c r="B13" s="66"/>
      <c r="C13" s="11" t="s">
        <v>0</v>
      </c>
      <c r="D13" s="11" t="s">
        <v>1</v>
      </c>
      <c r="E13" s="11" t="s">
        <v>2</v>
      </c>
      <c r="F13" s="20" t="s">
        <v>3</v>
      </c>
      <c r="G13" s="20" t="s">
        <v>4</v>
      </c>
      <c r="H13" s="20" t="s">
        <v>5</v>
      </c>
      <c r="I13" s="11" t="s">
        <v>6</v>
      </c>
      <c r="J13" s="11" t="s">
        <v>0</v>
      </c>
      <c r="K13" s="11" t="s">
        <v>1</v>
      </c>
      <c r="L13" s="11" t="s">
        <v>2</v>
      </c>
      <c r="M13" s="11" t="s">
        <v>3</v>
      </c>
      <c r="N13" s="11" t="s">
        <v>4</v>
      </c>
      <c r="O13" s="11" t="s">
        <v>5</v>
      </c>
      <c r="P13" s="11" t="s">
        <v>6</v>
      </c>
      <c r="Q13" s="11" t="s">
        <v>0</v>
      </c>
      <c r="R13" s="11" t="s">
        <v>1</v>
      </c>
      <c r="S13" s="11" t="s">
        <v>2</v>
      </c>
      <c r="T13" s="11" t="s">
        <v>3</v>
      </c>
      <c r="U13" s="11" t="s">
        <v>4</v>
      </c>
      <c r="V13" s="11" t="s">
        <v>5</v>
      </c>
      <c r="W13" s="11" t="s">
        <v>6</v>
      </c>
      <c r="X13" s="11" t="s">
        <v>0</v>
      </c>
      <c r="Y13" s="11" t="s">
        <v>1</v>
      </c>
      <c r="Z13" s="11" t="s">
        <v>2</v>
      </c>
      <c r="AA13" s="11" t="s">
        <v>3</v>
      </c>
      <c r="AB13" s="11" t="s">
        <v>4</v>
      </c>
      <c r="AC13" s="11" t="s">
        <v>5</v>
      </c>
      <c r="AD13" s="11" t="s">
        <v>6</v>
      </c>
      <c r="AE13" s="11" t="s">
        <v>0</v>
      </c>
      <c r="AF13" s="11" t="s">
        <v>1</v>
      </c>
      <c r="AG13" s="11" t="s">
        <v>2</v>
      </c>
      <c r="AH13" s="11" t="s">
        <v>3</v>
      </c>
      <c r="AI13" s="11" t="s">
        <v>4</v>
      </c>
      <c r="AJ13" s="11" t="s">
        <v>5</v>
      </c>
      <c r="AK13" s="11" t="s">
        <v>6</v>
      </c>
      <c r="AL13" s="11" t="s">
        <v>0</v>
      </c>
      <c r="AM13" s="14" t="s">
        <v>1</v>
      </c>
    </row>
    <row r="14" spans="2:39" ht="19.05" customHeight="1" thickBot="1" x14ac:dyDescent="0.4">
      <c r="B14" s="8" t="s">
        <v>29</v>
      </c>
      <c r="C14" s="16"/>
      <c r="D14" s="16"/>
      <c r="E14" s="18"/>
      <c r="F14" s="85" t="s">
        <v>24</v>
      </c>
      <c r="G14" s="86"/>
      <c r="H14" s="87"/>
      <c r="I14" s="19"/>
      <c r="J14" s="16"/>
      <c r="K14" s="16"/>
      <c r="L14" s="63"/>
      <c r="M14" s="59" t="s">
        <v>9</v>
      </c>
      <c r="N14" s="60"/>
      <c r="O14" s="63"/>
      <c r="P14" s="21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</row>
    <row r="15" spans="2:39" ht="19.05" customHeight="1" thickTop="1" thickBot="1" x14ac:dyDescent="0.4">
      <c r="B15" s="47" t="s">
        <v>34</v>
      </c>
      <c r="C15" s="37"/>
      <c r="D15" s="37"/>
      <c r="E15" s="37"/>
      <c r="F15" s="37"/>
      <c r="G15" s="37"/>
      <c r="H15" s="37"/>
      <c r="I15" s="37"/>
      <c r="J15" s="37"/>
      <c r="K15" s="61"/>
      <c r="L15" s="62" t="s">
        <v>36</v>
      </c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8"/>
    </row>
    <row r="16" spans="2:39" ht="19.05" customHeight="1" thickTop="1" x14ac:dyDescent="0.35">
      <c r="B16" s="9" t="s">
        <v>25</v>
      </c>
      <c r="C16" s="17"/>
      <c r="D16" s="17"/>
      <c r="E16" s="17"/>
      <c r="F16" s="16"/>
      <c r="G16" s="16"/>
      <c r="H16" s="16"/>
      <c r="I16" s="17"/>
      <c r="J16" s="17"/>
      <c r="K16" s="17"/>
      <c r="L16" s="17"/>
      <c r="M16" s="25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2:39" ht="19.05" customHeight="1" x14ac:dyDescent="0.35">
      <c r="B17" s="9" t="s">
        <v>27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2:39" ht="12" customHeight="1" x14ac:dyDescent="0.35"/>
    <row r="19" spans="2:39" s="10" customFormat="1" ht="19.05" customHeight="1" x14ac:dyDescent="0.35">
      <c r="B19" s="65">
        <f>DATE(CalendarYear,3,1)</f>
        <v>46082</v>
      </c>
      <c r="C19" s="12">
        <f>IF(DAY(MarSun1)=1,"",IF(AND(YEAR(MarSun1+1)=CalendarYear,MONTH(MarSun1+1)=3),MarSun1+1,""))</f>
        <v>46082</v>
      </c>
      <c r="D19" s="12">
        <f>IF(DAY(MarSun1)=1,"",IF(AND(YEAR(MarSun1+2)=CalendarYear,MONTH(MarSun1+2)=3),MarSun1+2,""))</f>
        <v>46083</v>
      </c>
      <c r="E19" s="12">
        <f>IF(DAY(MarSun1)=1,"",IF(AND(YEAR(MarSun1+3)=CalendarYear,MONTH(MarSun1+3)=3),MarSun1+3,""))</f>
        <v>46084</v>
      </c>
      <c r="F19" s="12">
        <f>IF(DAY(MarSun1)=1,"",IF(AND(YEAR(MarSun1+4)=CalendarYear,MONTH(MarSun1+4)=3),MarSun1+4,""))</f>
        <v>46085</v>
      </c>
      <c r="G19" s="12">
        <f>IF(DAY(MarSun1)=1,"",IF(AND(YEAR(MarSun1+5)=CalendarYear,MONTH(MarSun1+5)=3),MarSun1+5,""))</f>
        <v>46086</v>
      </c>
      <c r="H19" s="12">
        <f>IF(DAY(MarSun1)=1,"",IF(AND(YEAR(MarSun1+6)=CalendarYear,MONTH(MarSun1+6)=3),MarSun1+6,""))</f>
        <v>46087</v>
      </c>
      <c r="I19" s="12">
        <f>IF(DAY(MarSun1)=1,IF(AND(YEAR(MarSun1)=CalendarYear,MONTH(MarSun1)=3),MarSun1,""),IF(AND(YEAR(MarSun1+7)=CalendarYear,MONTH(MarSun1+7)=3),MarSun1+7,""))</f>
        <v>46088</v>
      </c>
      <c r="J19" s="12">
        <f>IF(DAY(MarSun1)=1,IF(AND(YEAR(MarSun1+1)=CalendarYear,MONTH(MarSun1+1)=3),MarSun1+1,""),IF(AND(YEAR(MarSun1+8)=CalendarYear,MONTH(MarSun1+8)=3),MarSun1+8,""))</f>
        <v>46089</v>
      </c>
      <c r="K19" s="12">
        <f>IF(DAY(MarSun1)=1,IF(AND(YEAR(MarSun1+2)=CalendarYear,MONTH(MarSun1+2)=3),MarSun1+2,""),IF(AND(YEAR(MarSun1+9)=CalendarYear,MONTH(MarSun1+9)=3),MarSun1+9,""))</f>
        <v>46090</v>
      </c>
      <c r="L19" s="12">
        <f>IF(DAY(MarSun1)=1,IF(AND(YEAR(MarSun1+3)=CalendarYear,MONTH(MarSun1+3)=3),MarSun1+3,""),IF(AND(YEAR(MarSun1+10)=CalendarYear,MONTH(MarSun1+10)=3),MarSun1+10,""))</f>
        <v>46091</v>
      </c>
      <c r="M19" s="12">
        <f>IF(DAY(MarSun1)=1,IF(AND(YEAR(MarSun1+4)=CalendarYear,MONTH(MarSun1+4)=3),MarSun1+4,""),IF(AND(YEAR(MarSun1+11)=CalendarYear,MONTH(MarSun1+11)=3),MarSun1+11,""))</f>
        <v>46092</v>
      </c>
      <c r="N19" s="12">
        <f>IF(DAY(MarSun1)=1,IF(AND(YEAR(MarSun1+5)=CalendarYear,MONTH(MarSun1+5)=3),MarSun1+5,""),IF(AND(YEAR(MarSun1+12)=CalendarYear,MONTH(MarSun1+12)=3),MarSun1+12,""))</f>
        <v>46093</v>
      </c>
      <c r="O19" s="12">
        <f>IF(DAY(MarSun1)=1,IF(AND(YEAR(MarSun1+6)=CalendarYear,MONTH(MarSun1+6)=3),MarSun1+6,""),IF(AND(YEAR(MarSun1+13)=CalendarYear,MONTH(MarSun1+13)=3),MarSun1+13,""))</f>
        <v>46094</v>
      </c>
      <c r="P19" s="12">
        <f>IF(DAY(MarSun1)=1,IF(AND(YEAR(MarSun1+7)=CalendarYear,MONTH(MarSun1+7)=3),MarSun1+7,""),IF(AND(YEAR(MarSun1+14)=CalendarYear,MONTH(MarSun1+14)=3),MarSun1+14,""))</f>
        <v>46095</v>
      </c>
      <c r="Q19" s="12">
        <f>IF(DAY(MarSun1)=1,IF(AND(YEAR(MarSun1+8)=CalendarYear,MONTH(MarSun1+8)=3),MarSun1+8,""),IF(AND(YEAR(MarSun1+15)=CalendarYear,MONTH(MarSun1+15)=3),MarSun1+15,""))</f>
        <v>46096</v>
      </c>
      <c r="R19" s="12">
        <f>IF(DAY(MarSun1)=1,IF(AND(YEAR(MarSun1+9)=CalendarYear,MONTH(MarSun1+9)=3),MarSun1+9,""),IF(AND(YEAR(MarSun1+16)=CalendarYear,MONTH(MarSun1+16)=3),MarSun1+16,""))</f>
        <v>46097</v>
      </c>
      <c r="S19" s="12">
        <f>IF(DAY(MarSun1)=1,IF(AND(YEAR(MarSun1+10)=CalendarYear,MONTH(MarSun1+10)=3),MarSun1+10,""),IF(AND(YEAR(MarSun1+17)=CalendarYear,MONTH(MarSun1+17)=3),MarSun1+17,""))</f>
        <v>46098</v>
      </c>
      <c r="T19" s="12">
        <f>IF(DAY(MarSun1)=1,IF(AND(YEAR(MarSun1+11)=CalendarYear,MONTH(MarSun1+11)=3),MarSun1+11,""),IF(AND(YEAR(MarSun1+18)=CalendarYear,MONTH(MarSun1+18)=3),MarSun1+18,""))</f>
        <v>46099</v>
      </c>
      <c r="U19" s="12">
        <f>IF(DAY(MarSun1)=1,IF(AND(YEAR(MarSun1+12)=CalendarYear,MONTH(MarSun1+12)=3),MarSun1+12,""),IF(AND(YEAR(MarSun1+19)=CalendarYear,MONTH(MarSun1+19)=3),MarSun1+19,""))</f>
        <v>46100</v>
      </c>
      <c r="V19" s="12">
        <f>IF(DAY(MarSun1)=1,IF(AND(YEAR(MarSun1+13)=CalendarYear,MONTH(MarSun1+13)=3),MarSun1+13,""),IF(AND(YEAR(MarSun1+20)=CalendarYear,MONTH(MarSun1+20)=3),MarSun1+20,""))</f>
        <v>46101</v>
      </c>
      <c r="W19" s="12">
        <f>IF(DAY(MarSun1)=1,IF(AND(YEAR(MarSun1+14)=CalendarYear,MONTH(MarSun1+14)=3),MarSun1+14,""),IF(AND(YEAR(MarSun1+21)=CalendarYear,MONTH(MarSun1+21)=3),MarSun1+21,""))</f>
        <v>46102</v>
      </c>
      <c r="X19" s="12">
        <f>IF(DAY(MarSun1)=1,IF(AND(YEAR(MarSun1+15)=CalendarYear,MONTH(MarSun1+15)=3),MarSun1+15,""),IF(AND(YEAR(MarSun1+22)=CalendarYear,MONTH(MarSun1+22)=3),MarSun1+22,""))</f>
        <v>46103</v>
      </c>
      <c r="Y19" s="12">
        <f>IF(DAY(MarSun1)=1,IF(AND(YEAR(MarSun1+16)=CalendarYear,MONTH(MarSun1+16)=3),MarSun1+16,""),IF(AND(YEAR(MarSun1+23)=CalendarYear,MONTH(MarSun1+23)=3),MarSun1+23,""))</f>
        <v>46104</v>
      </c>
      <c r="Z19" s="12">
        <f>IF(DAY(MarSun1)=1,IF(AND(YEAR(MarSun1+17)=CalendarYear,MONTH(MarSun1+17)=3),MarSun1+17,""),IF(AND(YEAR(MarSun1+24)=CalendarYear,MONTH(MarSun1+24)=3),MarSun1+24,""))</f>
        <v>46105</v>
      </c>
      <c r="AA19" s="12">
        <f>IF(DAY(MarSun1)=1,IF(AND(YEAR(MarSun1+18)=CalendarYear,MONTH(MarSun1+18)=3),MarSun1+18,""),IF(AND(YEAR(MarSun1+25)=CalendarYear,MONTH(MarSun1+25)=3),MarSun1+25,""))</f>
        <v>46106</v>
      </c>
      <c r="AB19" s="12">
        <f>IF(DAY(MarSun1)=1,IF(AND(YEAR(MarSun1+19)=CalendarYear,MONTH(MarSun1+19)=3),MarSun1+19,""),IF(AND(YEAR(MarSun1+26)=CalendarYear,MONTH(MarSun1+26)=3),MarSun1+26,""))</f>
        <v>46107</v>
      </c>
      <c r="AC19" s="12">
        <f>IF(DAY(MarSun1)=1,IF(AND(YEAR(MarSun1+20)=CalendarYear,MONTH(MarSun1+20)=3),MarSun1+20,""),IF(AND(YEAR(MarSun1+27)=CalendarYear,MONTH(MarSun1+27)=3),MarSun1+27,""))</f>
        <v>46108</v>
      </c>
      <c r="AD19" s="12">
        <f>IF(DAY(MarSun1)=1,IF(AND(YEAR(MarSun1+21)=CalendarYear,MONTH(MarSun1+21)=3),MarSun1+21,""),IF(AND(YEAR(MarSun1+28)=CalendarYear,MONTH(MarSun1+28)=3),MarSun1+28,""))</f>
        <v>46109</v>
      </c>
      <c r="AE19" s="12">
        <f>IF(DAY(MarSun1)=1,IF(AND(YEAR(MarSun1+22)=CalendarYear,MONTH(MarSun1+22)=3),MarSun1+22,""),IF(AND(YEAR(MarSun1+29)=CalendarYear,MONTH(MarSun1+29)=3),MarSun1+29,""))</f>
        <v>46110</v>
      </c>
      <c r="AF19" s="12">
        <f>IF(DAY(MarSun1)=1,IF(AND(YEAR(MarSun1+23)=CalendarYear,MONTH(MarSun1+23)=3),MarSun1+23,""),IF(AND(YEAR(MarSun1+30)=CalendarYear,MONTH(MarSun1+30)=3),MarSun1+30,""))</f>
        <v>46111</v>
      </c>
      <c r="AG19" s="12">
        <f>IF(DAY(MarSun1)=1,IF(AND(YEAR(MarSun1+24)=CalendarYear,MONTH(MarSun1+24)=3),MarSun1+24,""),IF(AND(YEAR(MarSun1+31)=CalendarYear,MONTH(MarSun1+31)=3),MarSun1+31,""))</f>
        <v>46112</v>
      </c>
      <c r="AH19" s="12" t="str">
        <f>IF(DAY(MarSun1)=1,IF(AND(YEAR(MarSun1+25)=CalendarYear,MONTH(MarSun1+25)=3),MarSun1+25,""),IF(AND(YEAR(MarSun1+32)=CalendarYear,MONTH(MarSun1+32)=3),MarSun1+32,""))</f>
        <v/>
      </c>
      <c r="AI19" s="12" t="str">
        <f>IF(DAY(MarSun1)=1,IF(AND(YEAR(MarSun1+26)=CalendarYear,MONTH(MarSun1+26)=3),MarSun1+26,""),IF(AND(YEAR(MarSun1+33)=CalendarYear,MONTH(MarSun1+33)=3),MarSun1+33,""))</f>
        <v/>
      </c>
      <c r="AJ19" s="12" t="str">
        <f>IF(DAY(MarSun1)=1,IF(AND(YEAR(MarSun1+27)=CalendarYear,MONTH(MarSun1+27)=3),MarSun1+27,""),IF(AND(YEAR(MarSun1+34)=CalendarYear,MONTH(MarSun1+34)=3),MarSun1+34,""))</f>
        <v/>
      </c>
      <c r="AK19" s="12" t="str">
        <f>IF(DAY(MarSun1)=1,IF(AND(YEAR(MarSun1+28)=CalendarYear,MONTH(MarSun1+28)=3),MarSun1+28,""),IF(AND(YEAR(MarSun1+35)=CalendarYear,MONTH(MarSun1+35)=3),MarSun1+35,""))</f>
        <v/>
      </c>
      <c r="AL19" s="12" t="str">
        <f>IF(DAY(MarSun1)=1,IF(AND(YEAR(MarSun1+29)=CalendarYear,MONTH(MarSun1+29)=3),MarSun1+29,""),IF(AND(YEAR(MarSun1+36)=CalendarYear,MONTH(MarSun1+36)=3),MarSun1+36,""))</f>
        <v/>
      </c>
      <c r="AM19" s="13" t="str">
        <f>IF(DAY(MarSun1)=1,IF(AND(YEAR(MarSun1+30)=CalendarYear,MONTH(MarSun1+30)=3),MarSun1+30,""),IF(AND(YEAR(MarSun1+37)=CalendarYear,MONTH(MarSun1+37)=3),MarSun1+37,""))</f>
        <v/>
      </c>
    </row>
    <row r="20" spans="2:39" s="10" customFormat="1" ht="19.05" customHeight="1" x14ac:dyDescent="0.35">
      <c r="B20" s="66"/>
      <c r="C20" s="11" t="s">
        <v>0</v>
      </c>
      <c r="D20" s="11" t="s">
        <v>1</v>
      </c>
      <c r="E20" s="11" t="s">
        <v>2</v>
      </c>
      <c r="F20" s="11" t="s">
        <v>3</v>
      </c>
      <c r="G20" s="11" t="s">
        <v>4</v>
      </c>
      <c r="H20" s="20" t="s">
        <v>5</v>
      </c>
      <c r="I20" s="20" t="s">
        <v>6</v>
      </c>
      <c r="J20" s="20" t="s">
        <v>0</v>
      </c>
      <c r="K20" s="11" t="s">
        <v>1</v>
      </c>
      <c r="L20" s="11" t="s">
        <v>2</v>
      </c>
      <c r="M20" s="11" t="s">
        <v>3</v>
      </c>
      <c r="N20" s="11" t="s">
        <v>4</v>
      </c>
      <c r="O20" s="11" t="s">
        <v>5</v>
      </c>
      <c r="P20" s="11" t="s">
        <v>6</v>
      </c>
      <c r="Q20" s="11" t="s">
        <v>0</v>
      </c>
      <c r="R20" s="11" t="s">
        <v>1</v>
      </c>
      <c r="S20" s="11" t="s">
        <v>2</v>
      </c>
      <c r="T20" s="11" t="s">
        <v>3</v>
      </c>
      <c r="U20" s="11" t="s">
        <v>4</v>
      </c>
      <c r="V20" s="11" t="s">
        <v>5</v>
      </c>
      <c r="W20" s="11" t="s">
        <v>6</v>
      </c>
      <c r="X20" s="11" t="s">
        <v>0</v>
      </c>
      <c r="Y20" s="11" t="s">
        <v>1</v>
      </c>
      <c r="Z20" s="11" t="s">
        <v>2</v>
      </c>
      <c r="AA20" s="11" t="s">
        <v>3</v>
      </c>
      <c r="AB20" s="11" t="s">
        <v>4</v>
      </c>
      <c r="AC20" s="11" t="s">
        <v>5</v>
      </c>
      <c r="AD20" s="11" t="s">
        <v>6</v>
      </c>
      <c r="AE20" s="11" t="s">
        <v>0</v>
      </c>
      <c r="AF20" s="11" t="s">
        <v>1</v>
      </c>
      <c r="AG20" s="11" t="s">
        <v>2</v>
      </c>
      <c r="AH20" s="11" t="s">
        <v>3</v>
      </c>
      <c r="AI20" s="11" t="s">
        <v>4</v>
      </c>
      <c r="AJ20" s="11" t="s">
        <v>5</v>
      </c>
      <c r="AK20" s="11" t="s">
        <v>6</v>
      </c>
      <c r="AL20" s="11" t="s">
        <v>0</v>
      </c>
      <c r="AM20" s="14" t="s">
        <v>1</v>
      </c>
    </row>
    <row r="21" spans="2:39" ht="19.05" customHeight="1" thickBot="1" x14ac:dyDescent="0.4">
      <c r="B21" s="36" t="s">
        <v>29</v>
      </c>
      <c r="C21" s="28"/>
      <c r="D21" s="28"/>
      <c r="E21" s="28"/>
      <c r="F21" s="28"/>
      <c r="G21" s="28"/>
      <c r="H21" s="28"/>
      <c r="I21" s="28"/>
      <c r="J21" s="28"/>
      <c r="K21" s="52" t="s">
        <v>10</v>
      </c>
      <c r="L21" s="71" t="s">
        <v>11</v>
      </c>
      <c r="M21" s="72" t="e">
        <f t="shared" ref="M21:U21" si="0">IF(OR(NOT(ISNUMBER(M19)),M19&lt;Job1_StartDate),"",IF(MID(Job1_Pattern,MOD(M19-Job1_StartDate,LEN(Job1_Pattern))+1,1)=Job1_Shift1_Code,1,IF(MID(Job1_Pattern,MOD(M19-Job1_StartDate,LEN(Job1_Pattern))+1,1)=Job1_Shift2_Code,2,IF(MID(Job1_Pattern,MOD(M19-Job1_StartDate,LEN(Job1_Pattern))+1,1)=Job1_Shift3_Code,3,""))))</f>
        <v>#REF!</v>
      </c>
      <c r="N21" s="72" t="e">
        <f t="shared" si="0"/>
        <v>#REF!</v>
      </c>
      <c r="O21" s="73" t="e">
        <f t="shared" si="0"/>
        <v>#REF!</v>
      </c>
      <c r="P21" s="49"/>
      <c r="Q21" s="49"/>
      <c r="R21" s="74" t="s">
        <v>12</v>
      </c>
      <c r="S21" s="75" t="e">
        <f t="shared" si="0"/>
        <v>#REF!</v>
      </c>
      <c r="T21" s="75" t="e">
        <f t="shared" si="0"/>
        <v>#REF!</v>
      </c>
      <c r="U21" s="76" t="e">
        <f t="shared" si="0"/>
        <v>#REF!</v>
      </c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</row>
    <row r="22" spans="2:39" ht="19.05" customHeight="1" thickTop="1" thickBot="1" x14ac:dyDescent="0.4">
      <c r="B22" s="47" t="s">
        <v>34</v>
      </c>
      <c r="C22" s="37"/>
      <c r="D22" s="114" t="s">
        <v>30</v>
      </c>
      <c r="E22" s="115"/>
      <c r="F22" s="115"/>
      <c r="G22" s="115"/>
      <c r="H22" s="116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8"/>
    </row>
    <row r="23" spans="2:39" ht="19.05" customHeight="1" thickTop="1" thickBot="1" x14ac:dyDescent="0.4">
      <c r="B23" s="8" t="s">
        <v>25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8"/>
      <c r="V23" s="44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</row>
    <row r="24" spans="2:39" ht="19.05" customHeight="1" x14ac:dyDescent="0.35">
      <c r="B24" s="9" t="s">
        <v>27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2:39" ht="12" customHeight="1" x14ac:dyDescent="0.35"/>
    <row r="26" spans="2:39" s="10" customFormat="1" ht="19.05" customHeight="1" x14ac:dyDescent="0.35">
      <c r="B26" s="65">
        <f>DATE(CalendarYear,4,1)</f>
        <v>46113</v>
      </c>
      <c r="C26" s="12" t="str">
        <f>IF(DAY(AprSun1)=1,"",IF(AND(YEAR(AprSun1+1)=CalendarYear,MONTH(AprSun1+1)=4),AprSun1+1,""))</f>
        <v/>
      </c>
      <c r="D26" s="12" t="str">
        <f>IF(DAY(AprSun1)=1,"",IF(AND(YEAR(AprSun1+2)=CalendarYear,MONTH(AprSun1+2)=4),AprSun1+2,""))</f>
        <v/>
      </c>
      <c r="E26" s="12" t="str">
        <f>IF(DAY(AprSun1)=1,"",IF(AND(YEAR(AprSun1+3)=CalendarYear,MONTH(AprSun1+3)=4),AprSun1+3,""))</f>
        <v/>
      </c>
      <c r="F26" s="12">
        <f>IF(DAY(AprSun1)=1,"",IF(AND(YEAR(AprSun1+4)=CalendarYear,MONTH(AprSun1+4)=4),AprSun1+4,""))</f>
        <v>46113</v>
      </c>
      <c r="G26" s="12">
        <f>IF(DAY(AprSun1)=1,"",IF(AND(YEAR(AprSun1+5)=CalendarYear,MONTH(AprSun1+5)=4),AprSun1+5,""))</f>
        <v>46114</v>
      </c>
      <c r="H26" s="12">
        <f>IF(DAY(AprSun1)=1,"",IF(AND(YEAR(AprSun1+6)=CalendarYear,MONTH(AprSun1+6)=4),AprSun1+6,""))</f>
        <v>46115</v>
      </c>
      <c r="I26" s="12">
        <f>IF(DAY(AprSun1)=1,IF(AND(YEAR(AprSun1)=CalendarYear,MONTH(AprSun1)=4),AprSun1,""),IF(AND(YEAR(AprSun1+7)=CalendarYear,MONTH(AprSun1+7)=4),AprSun1+7,""))</f>
        <v>46116</v>
      </c>
      <c r="J26" s="12">
        <f>IF(DAY(AprSun1)=1,IF(AND(YEAR(AprSun1+1)=CalendarYear,MONTH(AprSun1+1)=4),AprSun1+1,""),IF(AND(YEAR(AprSun1+8)=CalendarYear,MONTH(AprSun1+8)=4),AprSun1+8,""))</f>
        <v>46117</v>
      </c>
      <c r="K26" s="12">
        <f>IF(DAY(AprSun1)=1,IF(AND(YEAR(AprSun1+2)=CalendarYear,MONTH(AprSun1+2)=4),AprSun1+2,""),IF(AND(YEAR(AprSun1+9)=CalendarYear,MONTH(AprSun1+9)=4),AprSun1+9,""))</f>
        <v>46118</v>
      </c>
      <c r="L26" s="12">
        <f>IF(DAY(AprSun1)=1,IF(AND(YEAR(AprSun1+3)=CalendarYear,MONTH(AprSun1+3)=4),AprSun1+3,""),IF(AND(YEAR(AprSun1+10)=CalendarYear,MONTH(AprSun1+10)=4),AprSun1+10,""))</f>
        <v>46119</v>
      </c>
      <c r="M26" s="12">
        <f>IF(DAY(AprSun1)=1,IF(AND(YEAR(AprSun1+4)=CalendarYear,MONTH(AprSun1+4)=4),AprSun1+4,""),IF(AND(YEAR(AprSun1+11)=CalendarYear,MONTH(AprSun1+11)=4),AprSun1+11,""))</f>
        <v>46120</v>
      </c>
      <c r="N26" s="12">
        <f>IF(DAY(AprSun1)=1,IF(AND(YEAR(AprSun1+5)=CalendarYear,MONTH(AprSun1+5)=4),AprSun1+5,""),IF(AND(YEAR(AprSun1+12)=CalendarYear,MONTH(AprSun1+12)=4),AprSun1+12,""))</f>
        <v>46121</v>
      </c>
      <c r="O26" s="12">
        <f>IF(DAY(AprSun1)=1,IF(AND(YEAR(AprSun1+6)=CalendarYear,MONTH(AprSun1+6)=4),AprSun1+6,""),IF(AND(YEAR(AprSun1+13)=CalendarYear,MONTH(AprSun1+13)=4),AprSun1+13,""))</f>
        <v>46122</v>
      </c>
      <c r="P26" s="12">
        <f>IF(DAY(AprSun1)=1,IF(AND(YEAR(AprSun1+7)=CalendarYear,MONTH(AprSun1+7)=4),AprSun1+7,""),IF(AND(YEAR(AprSun1+14)=CalendarYear,MONTH(AprSun1+14)=4),AprSun1+14,""))</f>
        <v>46123</v>
      </c>
      <c r="Q26" s="12">
        <f>IF(DAY(AprSun1)=1,IF(AND(YEAR(AprSun1+8)=CalendarYear,MONTH(AprSun1+8)=4),AprSun1+8,""),IF(AND(YEAR(AprSun1+15)=CalendarYear,MONTH(AprSun1+15)=4),AprSun1+15,""))</f>
        <v>46124</v>
      </c>
      <c r="R26" s="12">
        <f>IF(DAY(AprSun1)=1,IF(AND(YEAR(AprSun1+9)=CalendarYear,MONTH(AprSun1+9)=4),AprSun1+9,""),IF(AND(YEAR(AprSun1+16)=CalendarYear,MONTH(AprSun1+16)=4),AprSun1+16,""))</f>
        <v>46125</v>
      </c>
      <c r="S26" s="12">
        <f>IF(DAY(AprSun1)=1,IF(AND(YEAR(AprSun1+10)=CalendarYear,MONTH(AprSun1+10)=4),AprSun1+10,""),IF(AND(YEAR(AprSun1+17)=CalendarYear,MONTH(AprSun1+17)=4),AprSun1+17,""))</f>
        <v>46126</v>
      </c>
      <c r="T26" s="12">
        <f>IF(DAY(AprSun1)=1,IF(AND(YEAR(AprSun1+11)=CalendarYear,MONTH(AprSun1+11)=4),AprSun1+11,""),IF(AND(YEAR(AprSun1+18)=CalendarYear,MONTH(AprSun1+18)=4),AprSun1+18,""))</f>
        <v>46127</v>
      </c>
      <c r="U26" s="12">
        <f>IF(DAY(AprSun1)=1,IF(AND(YEAR(AprSun1+12)=CalendarYear,MONTH(AprSun1+12)=4),AprSun1+12,""),IF(AND(YEAR(AprSun1+19)=CalendarYear,MONTH(AprSun1+19)=4),AprSun1+19,""))</f>
        <v>46128</v>
      </c>
      <c r="V26" s="12">
        <f>IF(DAY(AprSun1)=1,IF(AND(YEAR(AprSun1+13)=CalendarYear,MONTH(AprSun1+13)=4),AprSun1+13,""),IF(AND(YEAR(AprSun1+20)=CalendarYear,MONTH(AprSun1+20)=4),AprSun1+20,""))</f>
        <v>46129</v>
      </c>
      <c r="W26" s="12">
        <f>IF(DAY(AprSun1)=1,IF(AND(YEAR(AprSun1+14)=CalendarYear,MONTH(AprSun1+14)=4),AprSun1+14,""),IF(AND(YEAR(AprSun1+21)=CalendarYear,MONTH(AprSun1+21)=4),AprSun1+21,""))</f>
        <v>46130</v>
      </c>
      <c r="X26" s="12">
        <f>IF(DAY(AprSun1)=1,IF(AND(YEAR(AprSun1+15)=CalendarYear,MONTH(AprSun1+15)=4),AprSun1+15,""),IF(AND(YEAR(AprSun1+22)=CalendarYear,MONTH(AprSun1+22)=4),AprSun1+22,""))</f>
        <v>46131</v>
      </c>
      <c r="Y26" s="12">
        <f>IF(DAY(AprSun1)=1,IF(AND(YEAR(AprSun1+16)=CalendarYear,MONTH(AprSun1+16)=4),AprSun1+16,""),IF(AND(YEAR(AprSun1+23)=CalendarYear,MONTH(AprSun1+23)=4),AprSun1+23,""))</f>
        <v>46132</v>
      </c>
      <c r="Z26" s="12">
        <f>IF(DAY(AprSun1)=1,IF(AND(YEAR(AprSun1+17)=CalendarYear,MONTH(AprSun1+17)=4),AprSun1+17,""),IF(AND(YEAR(AprSun1+24)=CalendarYear,MONTH(AprSun1+24)=4),AprSun1+24,""))</f>
        <v>46133</v>
      </c>
      <c r="AA26" s="12">
        <f>IF(DAY(AprSun1)=1,IF(AND(YEAR(AprSun1+18)=CalendarYear,MONTH(AprSun1+18)=4),AprSun1+18,""),IF(AND(YEAR(AprSun1+25)=CalendarYear,MONTH(AprSun1+25)=4),AprSun1+25,""))</f>
        <v>46134</v>
      </c>
      <c r="AB26" s="12">
        <f>IF(DAY(AprSun1)=1,IF(AND(YEAR(AprSun1+19)=CalendarYear,MONTH(AprSun1+19)=4),AprSun1+19,""),IF(AND(YEAR(AprSun1+26)=CalendarYear,MONTH(AprSun1+26)=4),AprSun1+26,""))</f>
        <v>46135</v>
      </c>
      <c r="AC26" s="12">
        <f>IF(DAY(AprSun1)=1,IF(AND(YEAR(AprSun1+20)=CalendarYear,MONTH(AprSun1+20)=4),AprSun1+20,""),IF(AND(YEAR(AprSun1+27)=CalendarYear,MONTH(AprSun1+27)=4),AprSun1+27,""))</f>
        <v>46136</v>
      </c>
      <c r="AD26" s="12">
        <f>IF(DAY(AprSun1)=1,IF(AND(YEAR(AprSun1+21)=CalendarYear,MONTH(AprSun1+21)=4),AprSun1+21,""),IF(AND(YEAR(AprSun1+28)=CalendarYear,MONTH(AprSun1+28)=4),AprSun1+28,""))</f>
        <v>46137</v>
      </c>
      <c r="AE26" s="12">
        <f>IF(DAY(AprSun1)=1,IF(AND(YEAR(AprSun1+22)=CalendarYear,MONTH(AprSun1+22)=4),AprSun1+22,""),IF(AND(YEAR(AprSun1+29)=CalendarYear,MONTH(AprSun1+29)=4),AprSun1+29,""))</f>
        <v>46138</v>
      </c>
      <c r="AF26" s="12">
        <f>IF(DAY(AprSun1)=1,IF(AND(YEAR(AprSun1+23)=CalendarYear,MONTH(AprSun1+23)=4),AprSun1+23,""),IF(AND(YEAR(AprSun1+30)=CalendarYear,MONTH(AprSun1+30)=4),AprSun1+30,""))</f>
        <v>46139</v>
      </c>
      <c r="AG26" s="12">
        <f>IF(DAY(AprSun1)=1,IF(AND(YEAR(AprSun1+24)=CalendarYear,MONTH(AprSun1+24)=4),AprSun1+24,""),IF(AND(YEAR(AprSun1+31)=CalendarYear,MONTH(AprSun1+31)=4),AprSun1+31,""))</f>
        <v>46140</v>
      </c>
      <c r="AH26" s="12">
        <f>IF(DAY(AprSun1)=1,IF(AND(YEAR(AprSun1+25)=CalendarYear,MONTH(AprSun1+25)=4),AprSun1+25,""),IF(AND(YEAR(AprSun1+32)=CalendarYear,MONTH(AprSun1+32)=4),AprSun1+32,""))</f>
        <v>46141</v>
      </c>
      <c r="AI26" s="12">
        <f>IF(DAY(AprSun1)=1,IF(AND(YEAR(AprSun1+26)=CalendarYear,MONTH(AprSun1+26)=4),AprSun1+26,""),IF(AND(YEAR(AprSun1+33)=CalendarYear,MONTH(AprSun1+33)=4),AprSun1+33,""))</f>
        <v>46142</v>
      </c>
      <c r="AJ26" s="12" t="str">
        <f>IF(DAY(AprSun1)=1,IF(AND(YEAR(AprSun1+27)=CalendarYear,MONTH(AprSun1+27)=4),AprSun1+27,""),IF(AND(YEAR(AprSun1+34)=CalendarYear,MONTH(AprSun1+34)=4),AprSun1+34,""))</f>
        <v/>
      </c>
      <c r="AK26" s="12" t="str">
        <f>IF(DAY(AprSun1)=1,IF(AND(YEAR(AprSun1+28)=CalendarYear,MONTH(AprSun1+28)=4),AprSun1+28,""),IF(AND(YEAR(AprSun1+35)=CalendarYear,MONTH(AprSun1+35)=4),AprSun1+35,""))</f>
        <v/>
      </c>
      <c r="AL26" s="12" t="str">
        <f>IF(DAY(AprSun1)=1,IF(AND(YEAR(AprSun1+29)=CalendarYear,MONTH(AprSun1+29)=4),AprSun1+29,""),IF(AND(YEAR(AprSun1+36)=CalendarYear,MONTH(AprSun1+36)=4),AprSun1+36,""))</f>
        <v/>
      </c>
      <c r="AM26" s="13" t="str">
        <f>IF(DAY(AprSun1)=1,IF(AND(YEAR(AprSun1+30)=CalendarYear,MONTH(AprSun1+30)=4),AprSun1+30,""),IF(AND(YEAR(AprSun1+37)=CalendarYear,MONTH(AprSun1+37)=4),AprSun1+37,""))</f>
        <v/>
      </c>
    </row>
    <row r="27" spans="2:39" s="10" customFormat="1" ht="19.05" customHeight="1" x14ac:dyDescent="0.35">
      <c r="B27" s="66"/>
      <c r="C27" s="11" t="s">
        <v>0</v>
      </c>
      <c r="D27" s="11" t="s">
        <v>1</v>
      </c>
      <c r="E27" s="11" t="s">
        <v>2</v>
      </c>
      <c r="F27" s="11" t="s">
        <v>3</v>
      </c>
      <c r="G27" s="11" t="s">
        <v>4</v>
      </c>
      <c r="H27" s="11" t="s">
        <v>5</v>
      </c>
      <c r="I27" s="11" t="s">
        <v>6</v>
      </c>
      <c r="J27" s="11" t="s">
        <v>0</v>
      </c>
      <c r="K27" s="11" t="s">
        <v>1</v>
      </c>
      <c r="L27" s="11" t="s">
        <v>2</v>
      </c>
      <c r="M27" s="11" t="s">
        <v>3</v>
      </c>
      <c r="N27" s="11" t="s">
        <v>4</v>
      </c>
      <c r="O27" s="11" t="s">
        <v>5</v>
      </c>
      <c r="P27" s="11" t="s">
        <v>6</v>
      </c>
      <c r="Q27" s="11" t="s">
        <v>0</v>
      </c>
      <c r="R27" s="11" t="s">
        <v>1</v>
      </c>
      <c r="S27" s="11" t="s">
        <v>2</v>
      </c>
      <c r="T27" s="11" t="s">
        <v>3</v>
      </c>
      <c r="U27" s="11" t="s">
        <v>4</v>
      </c>
      <c r="V27" s="11" t="s">
        <v>5</v>
      </c>
      <c r="W27" s="11" t="s">
        <v>6</v>
      </c>
      <c r="X27" s="11" t="s">
        <v>0</v>
      </c>
      <c r="Y27" s="11" t="s">
        <v>1</v>
      </c>
      <c r="Z27" s="11" t="s">
        <v>2</v>
      </c>
      <c r="AA27" s="11" t="s">
        <v>3</v>
      </c>
      <c r="AB27" s="11" t="s">
        <v>4</v>
      </c>
      <c r="AC27" s="11" t="s">
        <v>5</v>
      </c>
      <c r="AD27" s="11" t="s">
        <v>6</v>
      </c>
      <c r="AE27" s="11" t="s">
        <v>0</v>
      </c>
      <c r="AF27" s="11" t="s">
        <v>1</v>
      </c>
      <c r="AG27" s="11" t="s">
        <v>2</v>
      </c>
      <c r="AH27" s="11" t="s">
        <v>3</v>
      </c>
      <c r="AI27" s="11" t="s">
        <v>4</v>
      </c>
      <c r="AJ27" s="11" t="s">
        <v>5</v>
      </c>
      <c r="AK27" s="11" t="s">
        <v>6</v>
      </c>
      <c r="AL27" s="11" t="s">
        <v>0</v>
      </c>
      <c r="AM27" s="14" t="s">
        <v>1</v>
      </c>
    </row>
    <row r="28" spans="2:39" ht="19.05" customHeight="1" thickBot="1" x14ac:dyDescent="0.4">
      <c r="B28" s="36" t="s">
        <v>29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102" t="s">
        <v>13</v>
      </c>
      <c r="S28" s="103" t="e">
        <f t="shared" ref="S28:U28" si="1">IF(OR(NOT(ISNUMBER(S26)),S26&lt;Job1_StartDate),"",IF(MID(Job1_Pattern,MOD(S26-Job1_StartDate,LEN(Job1_Pattern))+1,1)=Job1_Shift1_Code,1,IF(MID(Job1_Pattern,MOD(S26-Job1_StartDate,LEN(Job1_Pattern))+1,1)=Job1_Shift2_Code,2,IF(MID(Job1_Pattern,MOD(S26-Job1_StartDate,LEN(Job1_Pattern))+1,1)=Job1_Shift3_Code,3,""))))</f>
        <v>#REF!</v>
      </c>
      <c r="T28" s="103" t="e">
        <f t="shared" si="1"/>
        <v>#REF!</v>
      </c>
      <c r="U28" s="104" t="e">
        <f t="shared" si="1"/>
        <v>#REF!</v>
      </c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105" t="s">
        <v>14</v>
      </c>
      <c r="AG28" s="106" t="e">
        <f t="shared" ref="AG28:AI28" si="2">IF(OR(NOT(ISNUMBER(AG26)),AG26&lt;Job1_StartDate),"",IF(MID(Job1_Pattern,MOD(AG26-Job1_StartDate,LEN(Job1_Pattern))+1,1)=Job1_Shift1_Code,1,IF(MID(Job1_Pattern,MOD(AG26-Job1_StartDate,LEN(Job1_Pattern))+1,1)=Job1_Shift2_Code,2,IF(MID(Job1_Pattern,MOD(AG26-Job1_StartDate,LEN(Job1_Pattern))+1,1)=Job1_Shift3_Code,3,""))))</f>
        <v>#REF!</v>
      </c>
      <c r="AH28" s="106" t="e">
        <f t="shared" si="2"/>
        <v>#REF!</v>
      </c>
      <c r="AI28" s="107" t="e">
        <f t="shared" si="2"/>
        <v>#REF!</v>
      </c>
      <c r="AJ28" s="28"/>
      <c r="AK28" s="28"/>
      <c r="AL28" s="28"/>
      <c r="AM28" s="28"/>
    </row>
    <row r="29" spans="2:39" ht="19.05" customHeight="1" thickTop="1" thickBot="1" x14ac:dyDescent="0.4">
      <c r="B29" s="47" t="s">
        <v>34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117" t="s">
        <v>31</v>
      </c>
      <c r="Z29" s="118"/>
      <c r="AA29" s="118"/>
      <c r="AB29" s="118"/>
      <c r="AC29" s="119"/>
      <c r="AD29" s="37"/>
      <c r="AE29" s="37"/>
      <c r="AF29" s="41"/>
      <c r="AG29" s="41"/>
      <c r="AH29" s="41"/>
      <c r="AI29" s="41"/>
      <c r="AJ29" s="42"/>
      <c r="AK29" s="37"/>
      <c r="AL29" s="37"/>
      <c r="AM29" s="38"/>
    </row>
    <row r="30" spans="2:39" ht="19.05" customHeight="1" thickTop="1" thickBot="1" x14ac:dyDescent="0.4">
      <c r="B30" s="8" t="s">
        <v>25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8"/>
      <c r="AH30" s="39"/>
      <c r="AI30" s="40"/>
      <c r="AJ30" s="19"/>
      <c r="AK30" s="16"/>
      <c r="AL30" s="16"/>
      <c r="AM30" s="16"/>
    </row>
    <row r="31" spans="2:39" ht="19.05" customHeight="1" x14ac:dyDescent="0.35">
      <c r="B31" s="9" t="s">
        <v>27</v>
      </c>
      <c r="C31" s="17"/>
      <c r="D31" s="17"/>
      <c r="E31" s="17"/>
      <c r="F31" s="17"/>
      <c r="G31" s="17"/>
      <c r="H31" s="25"/>
      <c r="I31" s="16"/>
      <c r="J31" s="16"/>
      <c r="K31" s="2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6"/>
      <c r="AI31" s="16"/>
      <c r="AJ31" s="17"/>
      <c r="AK31" s="17"/>
      <c r="AL31" s="17"/>
      <c r="AM31" s="17"/>
    </row>
    <row r="32" spans="2:39" ht="12" customHeight="1" x14ac:dyDescent="0.35"/>
    <row r="33" spans="2:39" s="10" customFormat="1" ht="19.05" customHeight="1" x14ac:dyDescent="0.35">
      <c r="B33" s="83">
        <f>DATE(CalendarYear,5,1)</f>
        <v>46143</v>
      </c>
      <c r="C33" s="12" t="str">
        <f>IF(DAY(MaySun1)=1,"",IF(AND(YEAR(MaySun1+1)=CalendarYear,MONTH(MaySun1+1)=5),MaySun1+1,""))</f>
        <v/>
      </c>
      <c r="D33" s="12" t="str">
        <f>IF(DAY(MaySun1)=1,"",IF(AND(YEAR(MaySun1+2)=CalendarYear,MONTH(MaySun1+2)=5),MaySun1+2,""))</f>
        <v/>
      </c>
      <c r="E33" s="12" t="str">
        <f>IF(DAY(MaySun1)=1,"",IF(AND(YEAR(MaySun1+3)=CalendarYear,MONTH(MaySun1+3)=5),MaySun1+3,""))</f>
        <v/>
      </c>
      <c r="F33" s="12" t="str">
        <f>IF(DAY(MaySun1)=1,"",IF(AND(YEAR(MaySun1+4)=CalendarYear,MONTH(MaySun1+4)=5),MaySun1+4,""))</f>
        <v/>
      </c>
      <c r="G33" s="12" t="str">
        <f>IF(DAY(MaySun1)=1,"",IF(AND(YEAR(MaySun1+5)=CalendarYear,MONTH(MaySun1+5)=5),MaySun1+5,""))</f>
        <v/>
      </c>
      <c r="H33" s="12">
        <f>IF(DAY(MaySun1)=1,"",IF(AND(YEAR(MaySun1+6)=CalendarYear,MONTH(MaySun1+6)=5),MaySun1+6,""))</f>
        <v>46143</v>
      </c>
      <c r="I33" s="12">
        <f>IF(DAY(MaySun1)=1,IF(AND(YEAR(MaySun1)=CalendarYear,MONTH(MaySun1)=5),MaySun1,""),IF(AND(YEAR(MaySun1+7)=CalendarYear,MONTH(MaySun1+7)=5),MaySun1+7,""))</f>
        <v>46144</v>
      </c>
      <c r="J33" s="12">
        <f>IF(DAY(MaySun1)=1,IF(AND(YEAR(MaySun1+1)=CalendarYear,MONTH(MaySun1+1)=5),MaySun1+1,""),IF(AND(YEAR(MaySun1+8)=CalendarYear,MONTH(MaySun1+8)=5),MaySun1+8,""))</f>
        <v>46145</v>
      </c>
      <c r="K33" s="12">
        <f>IF(DAY(MaySun1)=1,IF(AND(YEAR(MaySun1+2)=CalendarYear,MONTH(MaySun1+2)=5),MaySun1+2,""),IF(AND(YEAR(MaySun1+9)=CalendarYear,MONTH(MaySun1+9)=5),MaySun1+9,""))</f>
        <v>46146</v>
      </c>
      <c r="L33" s="12">
        <f>IF(DAY(MaySun1)=1,IF(AND(YEAR(MaySun1+3)=CalendarYear,MONTH(MaySun1+3)=5),MaySun1+3,""),IF(AND(YEAR(MaySun1+10)=CalendarYear,MONTH(MaySun1+10)=5),MaySun1+10,""))</f>
        <v>46147</v>
      </c>
      <c r="M33" s="12">
        <f>IF(DAY(MaySun1)=1,IF(AND(YEAR(MaySun1+4)=CalendarYear,MONTH(MaySun1+4)=5),MaySun1+4,""),IF(AND(YEAR(MaySun1+11)=CalendarYear,MONTH(MaySun1+11)=5),MaySun1+11,""))</f>
        <v>46148</v>
      </c>
      <c r="N33" s="12">
        <f>IF(DAY(MaySun1)=1,IF(AND(YEAR(MaySun1+5)=CalendarYear,MONTH(MaySun1+5)=5),MaySun1+5,""),IF(AND(YEAR(MaySun1+12)=CalendarYear,MONTH(MaySun1+12)=5),MaySun1+12,""))</f>
        <v>46149</v>
      </c>
      <c r="O33" s="12">
        <f>IF(DAY(MaySun1)=1,IF(AND(YEAR(MaySun1+6)=CalendarYear,MONTH(MaySun1+6)=5),MaySun1+6,""),IF(AND(YEAR(MaySun1+13)=CalendarYear,MONTH(MaySun1+13)=5),MaySun1+13,""))</f>
        <v>46150</v>
      </c>
      <c r="P33" s="12">
        <f>IF(DAY(MaySun1)=1,IF(AND(YEAR(MaySun1+7)=CalendarYear,MONTH(MaySun1+7)=5),MaySun1+7,""),IF(AND(YEAR(MaySun1+14)=CalendarYear,MONTH(MaySun1+14)=5),MaySun1+14,""))</f>
        <v>46151</v>
      </c>
      <c r="Q33" s="12">
        <f>IF(DAY(MaySun1)=1,IF(AND(YEAR(MaySun1+8)=CalendarYear,MONTH(MaySun1+8)=5),MaySun1+8,""),IF(AND(YEAR(MaySun1+15)=CalendarYear,MONTH(MaySun1+15)=5),MaySun1+15,""))</f>
        <v>46152</v>
      </c>
      <c r="R33" s="12">
        <f>IF(DAY(MaySun1)=1,IF(AND(YEAR(MaySun1+9)=CalendarYear,MONTH(MaySun1+9)=5),MaySun1+9,""),IF(AND(YEAR(MaySun1+16)=CalendarYear,MONTH(MaySun1+16)=5),MaySun1+16,""))</f>
        <v>46153</v>
      </c>
      <c r="S33" s="12">
        <f>IF(DAY(MaySun1)=1,IF(AND(YEAR(MaySun1+10)=CalendarYear,MONTH(MaySun1+10)=5),MaySun1+10,""),IF(AND(YEAR(MaySun1+17)=CalendarYear,MONTH(MaySun1+17)=5),MaySun1+17,""))</f>
        <v>46154</v>
      </c>
      <c r="T33" s="12">
        <f>IF(DAY(MaySun1)=1,IF(AND(YEAR(MaySun1+11)=CalendarYear,MONTH(MaySun1+11)=5),MaySun1+11,""),IF(AND(YEAR(MaySun1+18)=CalendarYear,MONTH(MaySun1+18)=5),MaySun1+18,""))</f>
        <v>46155</v>
      </c>
      <c r="U33" s="12">
        <f>IF(DAY(MaySun1)=1,IF(AND(YEAR(MaySun1+12)=CalendarYear,MONTH(MaySun1+12)=5),MaySun1+12,""),IF(AND(YEAR(MaySun1+19)=CalendarYear,MONTH(MaySun1+19)=5),MaySun1+19,""))</f>
        <v>46156</v>
      </c>
      <c r="V33" s="12">
        <f>IF(DAY(MaySun1)=1,IF(AND(YEAR(MaySun1+13)=CalendarYear,MONTH(MaySun1+13)=5),MaySun1+13,""),IF(AND(YEAR(MaySun1+20)=CalendarYear,MONTH(MaySun1+20)=5),MaySun1+20,""))</f>
        <v>46157</v>
      </c>
      <c r="W33" s="12">
        <f>IF(DAY(MaySun1)=1,IF(AND(YEAR(MaySun1+14)=CalendarYear,MONTH(MaySun1+14)=5),MaySun1+14,""),IF(AND(YEAR(MaySun1+21)=CalendarYear,MONTH(MaySun1+21)=5),MaySun1+21,""))</f>
        <v>46158</v>
      </c>
      <c r="X33" s="12">
        <f>IF(DAY(MaySun1)=1,IF(AND(YEAR(MaySun1+15)=CalendarYear,MONTH(MaySun1+15)=5),MaySun1+15,""),IF(AND(YEAR(MaySun1+22)=CalendarYear,MONTH(MaySun1+22)=5),MaySun1+22,""))</f>
        <v>46159</v>
      </c>
      <c r="Y33" s="12">
        <f>IF(DAY(MaySun1)=1,IF(AND(YEAR(MaySun1+16)=CalendarYear,MONTH(MaySun1+16)=5),MaySun1+16,""),IF(AND(YEAR(MaySun1+23)=CalendarYear,MONTH(MaySun1+23)=5),MaySun1+23,""))</f>
        <v>46160</v>
      </c>
      <c r="Z33" s="12">
        <f>IF(DAY(MaySun1)=1,IF(AND(YEAR(MaySun1+17)=CalendarYear,MONTH(MaySun1+17)=5),MaySun1+17,""),IF(AND(YEAR(MaySun1+24)=CalendarYear,MONTH(MaySun1+24)=5),MaySun1+24,""))</f>
        <v>46161</v>
      </c>
      <c r="AA33" s="12">
        <f>IF(DAY(MaySun1)=1,IF(AND(YEAR(MaySun1+18)=CalendarYear,MONTH(MaySun1+18)=5),MaySun1+18,""),IF(AND(YEAR(MaySun1+25)=CalendarYear,MONTH(MaySun1+25)=5),MaySun1+25,""))</f>
        <v>46162</v>
      </c>
      <c r="AB33" s="12">
        <f>IF(DAY(MaySun1)=1,IF(AND(YEAR(MaySun1+19)=CalendarYear,MONTH(MaySun1+19)=5),MaySun1+19,""),IF(AND(YEAR(MaySun1+26)=CalendarYear,MONTH(MaySun1+26)=5),MaySun1+26,""))</f>
        <v>46163</v>
      </c>
      <c r="AC33" s="12">
        <f>IF(DAY(MaySun1)=1,IF(AND(YEAR(MaySun1+20)=CalendarYear,MONTH(MaySun1+20)=5),MaySun1+20,""),IF(AND(YEAR(MaySun1+27)=CalendarYear,MONTH(MaySun1+27)=5),MaySun1+27,""))</f>
        <v>46164</v>
      </c>
      <c r="AD33" s="12">
        <f>IF(DAY(MaySun1)=1,IF(AND(YEAR(MaySun1+21)=CalendarYear,MONTH(MaySun1+21)=5),MaySun1+21,""),IF(AND(YEAR(MaySun1+28)=CalendarYear,MONTH(MaySun1+28)=5),MaySun1+28,""))</f>
        <v>46165</v>
      </c>
      <c r="AE33" s="12">
        <f>IF(DAY(MaySun1)=1,IF(AND(YEAR(MaySun1+22)=CalendarYear,MONTH(MaySun1+22)=5),MaySun1+22,""),IF(AND(YEAR(MaySun1+29)=CalendarYear,MONTH(MaySun1+29)=5),MaySun1+29,""))</f>
        <v>46166</v>
      </c>
      <c r="AF33" s="12">
        <f>IF(DAY(MaySun1)=1,IF(AND(YEAR(MaySun1+23)=CalendarYear,MONTH(MaySun1+23)=5),MaySun1+23,""),IF(AND(YEAR(MaySun1+30)=CalendarYear,MONTH(MaySun1+30)=5),MaySun1+30,""))</f>
        <v>46167</v>
      </c>
      <c r="AG33" s="12">
        <f>IF(DAY(MaySun1)=1,IF(AND(YEAR(MaySun1+24)=CalendarYear,MONTH(MaySun1+24)=5),MaySun1+24,""),IF(AND(YEAR(MaySun1+31)=CalendarYear,MONTH(MaySun1+31)=5),MaySun1+31,""))</f>
        <v>46168</v>
      </c>
      <c r="AH33" s="12">
        <f>IF(DAY(MaySun1)=1,IF(AND(YEAR(MaySun1+25)=CalendarYear,MONTH(MaySun1+25)=5),MaySun1+25,""),IF(AND(YEAR(MaySun1+32)=CalendarYear,MONTH(MaySun1+32)=5),MaySun1+32,""))</f>
        <v>46169</v>
      </c>
      <c r="AI33" s="12">
        <f>IF(DAY(MaySun1)=1,IF(AND(YEAR(MaySun1+26)=CalendarYear,MONTH(MaySun1+26)=5),MaySun1+26,""),IF(AND(YEAR(MaySun1+33)=CalendarYear,MONTH(MaySun1+33)=5),MaySun1+33,""))</f>
        <v>46170</v>
      </c>
      <c r="AJ33" s="12">
        <f>IF(DAY(MaySun1)=1,IF(AND(YEAR(MaySun1+27)=CalendarYear,MONTH(MaySun1+27)=5),MaySun1+27,""),IF(AND(YEAR(MaySun1+34)=CalendarYear,MONTH(MaySun1+34)=5),MaySun1+34,""))</f>
        <v>46171</v>
      </c>
      <c r="AK33" s="12">
        <f>IF(DAY(MaySun1)=1,IF(AND(YEAR(MaySun1+28)=CalendarYear,MONTH(MaySun1+28)=5),MaySun1+28,""),IF(AND(YEAR(MaySun1+35)=CalendarYear,MONTH(MaySun1+35)=5),MaySun1+35,""))</f>
        <v>46172</v>
      </c>
      <c r="AL33" s="12">
        <f>IF(DAY(MaySun1)=1,IF(AND(YEAR(MaySun1+29)=CalendarYear,MONTH(MaySun1+29)=5),MaySun1+29,""),IF(AND(YEAR(MaySun1+36)=CalendarYear,MONTH(MaySun1+36)=5),MaySun1+36,""))</f>
        <v>46173</v>
      </c>
      <c r="AM33" s="13" t="str">
        <f>IF(DAY(MaySun1)=1,IF(AND(YEAR(MaySun1+30)=CalendarYear,MONTH(MaySun1+30)=5),MaySun1+30,""),IF(AND(YEAR(MaySun1+37)=CalendarYear,MONTH(MaySun1+37)=5),MaySun1+37,""))</f>
        <v/>
      </c>
    </row>
    <row r="34" spans="2:39" s="10" customFormat="1" ht="19.05" customHeight="1" x14ac:dyDescent="0.35">
      <c r="B34" s="84"/>
      <c r="C34" s="11" t="s">
        <v>0</v>
      </c>
      <c r="D34" s="11" t="s">
        <v>1</v>
      </c>
      <c r="E34" s="11" t="s">
        <v>2</v>
      </c>
      <c r="F34" s="11" t="s">
        <v>3</v>
      </c>
      <c r="G34" s="11" t="s">
        <v>4</v>
      </c>
      <c r="H34" s="11" t="s">
        <v>5</v>
      </c>
      <c r="I34" s="11" t="s">
        <v>6</v>
      </c>
      <c r="J34" s="11" t="s">
        <v>0</v>
      </c>
      <c r="K34" s="11" t="s">
        <v>1</v>
      </c>
      <c r="L34" s="11" t="s">
        <v>2</v>
      </c>
      <c r="M34" s="11" t="s">
        <v>3</v>
      </c>
      <c r="N34" s="11" t="s">
        <v>4</v>
      </c>
      <c r="O34" s="11" t="s">
        <v>5</v>
      </c>
      <c r="P34" s="11" t="s">
        <v>6</v>
      </c>
      <c r="Q34" s="11" t="s">
        <v>0</v>
      </c>
      <c r="R34" s="11" t="s">
        <v>1</v>
      </c>
      <c r="S34" s="11" t="s">
        <v>2</v>
      </c>
      <c r="T34" s="11" t="s">
        <v>3</v>
      </c>
      <c r="U34" s="11" t="s">
        <v>4</v>
      </c>
      <c r="V34" s="11" t="s">
        <v>5</v>
      </c>
      <c r="W34" s="11" t="s">
        <v>6</v>
      </c>
      <c r="X34" s="11" t="s">
        <v>0</v>
      </c>
      <c r="Y34" s="11" t="s">
        <v>1</v>
      </c>
      <c r="Z34" s="11" t="s">
        <v>2</v>
      </c>
      <c r="AA34" s="11" t="s">
        <v>3</v>
      </c>
      <c r="AB34" s="11" t="s">
        <v>4</v>
      </c>
      <c r="AC34" s="11" t="s">
        <v>5</v>
      </c>
      <c r="AD34" s="11" t="s">
        <v>6</v>
      </c>
      <c r="AE34" s="11" t="s">
        <v>0</v>
      </c>
      <c r="AF34" s="11" t="s">
        <v>1</v>
      </c>
      <c r="AG34" s="11" t="s">
        <v>2</v>
      </c>
      <c r="AH34" s="11" t="s">
        <v>3</v>
      </c>
      <c r="AI34" s="11" t="s">
        <v>4</v>
      </c>
      <c r="AJ34" s="11" t="s">
        <v>5</v>
      </c>
      <c r="AK34" s="11" t="s">
        <v>6</v>
      </c>
      <c r="AL34" s="11" t="s">
        <v>0</v>
      </c>
      <c r="AM34" s="14" t="s">
        <v>1</v>
      </c>
    </row>
    <row r="35" spans="2:39" ht="19.05" customHeight="1" thickBot="1" x14ac:dyDescent="0.4">
      <c r="B35" s="36" t="s">
        <v>29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V35" s="28"/>
      <c r="W35" s="28"/>
      <c r="X35" s="28"/>
      <c r="Y35" s="108" t="s">
        <v>15</v>
      </c>
      <c r="Z35" s="109"/>
      <c r="AA35" s="109"/>
      <c r="AB35" s="109"/>
      <c r="AC35" s="110"/>
      <c r="AD35" s="28"/>
      <c r="AE35" s="28"/>
      <c r="AF35" s="28"/>
      <c r="AG35" s="28"/>
      <c r="AH35" s="28"/>
      <c r="AI35" s="28"/>
      <c r="AJ35" s="28"/>
      <c r="AK35" s="28"/>
      <c r="AL35" s="28"/>
      <c r="AM35" s="28"/>
    </row>
    <row r="36" spans="2:39" ht="19.05" customHeight="1" thickTop="1" thickBot="1" x14ac:dyDescent="0.4">
      <c r="B36" s="46" t="s">
        <v>28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53"/>
      <c r="Z36" s="53"/>
      <c r="AA36" s="53"/>
      <c r="AB36" s="53"/>
      <c r="AC36" s="53"/>
      <c r="AD36" s="37"/>
      <c r="AE36" s="37"/>
      <c r="AF36" s="37"/>
      <c r="AG36" s="37"/>
      <c r="AH36" s="37"/>
      <c r="AI36" s="37"/>
      <c r="AJ36" s="37"/>
      <c r="AK36" s="37"/>
      <c r="AL36" s="37"/>
      <c r="AM36" s="38"/>
    </row>
    <row r="37" spans="2:39" ht="19.05" customHeight="1" thickTop="1" thickBot="1" x14ac:dyDescent="0.4">
      <c r="B37" s="8" t="s">
        <v>25</v>
      </c>
      <c r="C37" s="16"/>
      <c r="D37" s="16"/>
      <c r="E37" s="16"/>
      <c r="F37" s="16"/>
      <c r="G37" s="18"/>
      <c r="H37" s="39"/>
      <c r="I37" s="43"/>
      <c r="J37" s="43"/>
      <c r="K37" s="43"/>
      <c r="L37" s="40"/>
      <c r="M37" s="19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8"/>
      <c r="Y37" s="111" t="s">
        <v>16</v>
      </c>
      <c r="Z37" s="112"/>
      <c r="AA37" s="112"/>
      <c r="AB37" s="112"/>
      <c r="AC37" s="113"/>
      <c r="AD37" s="19"/>
      <c r="AE37" s="16"/>
      <c r="AF37" s="16"/>
      <c r="AG37" s="16"/>
      <c r="AH37" s="16"/>
      <c r="AI37" s="16"/>
      <c r="AJ37" s="16"/>
      <c r="AK37" s="16"/>
      <c r="AL37" s="16"/>
      <c r="AM37" s="16"/>
    </row>
    <row r="38" spans="2:39" ht="19.05" customHeight="1" x14ac:dyDescent="0.35">
      <c r="B38" s="9" t="s">
        <v>27</v>
      </c>
      <c r="C38" s="17"/>
      <c r="D38" s="17"/>
      <c r="E38" s="17"/>
      <c r="F38" s="17"/>
      <c r="G38" s="17"/>
      <c r="H38" s="27"/>
      <c r="I38" s="16"/>
      <c r="J38" s="16"/>
      <c r="K38" s="16"/>
      <c r="L38" s="16"/>
      <c r="M38" s="17"/>
      <c r="N38" s="17"/>
      <c r="O38" s="17"/>
      <c r="P38" s="17"/>
      <c r="Q38" s="17"/>
      <c r="R38" s="17"/>
      <c r="S38" s="17"/>
      <c r="T38" s="17"/>
      <c r="U38" s="25"/>
      <c r="V38" s="17"/>
      <c r="W38" s="17"/>
      <c r="X38" s="17"/>
      <c r="Y38" s="16"/>
      <c r="Z38" s="16"/>
      <c r="AA38" s="16"/>
      <c r="AB38" s="16"/>
      <c r="AC38" s="16"/>
      <c r="AD38" s="17"/>
      <c r="AE38" s="17"/>
      <c r="AF38" s="25"/>
      <c r="AG38" s="26"/>
      <c r="AH38" s="26"/>
      <c r="AI38" s="26"/>
      <c r="AJ38" s="26"/>
      <c r="AK38" s="26"/>
      <c r="AL38" s="26"/>
      <c r="AM38" s="17"/>
    </row>
    <row r="39" spans="2:39" ht="12" customHeight="1" x14ac:dyDescent="0.35"/>
    <row r="40" spans="2:39" s="10" customFormat="1" ht="19.05" customHeight="1" x14ac:dyDescent="0.35">
      <c r="B40" s="65">
        <f>DATE(CalendarYear,6,1)</f>
        <v>46174</v>
      </c>
      <c r="C40" s="12" t="str">
        <f>IF(DAY(JunSun1)=1,"",IF(AND(YEAR(JunSun1+1)=CalendarYear,MONTH(JunSun1+1)=6),JunSun1+1,""))</f>
        <v/>
      </c>
      <c r="D40" s="12">
        <f>IF(DAY(JunSun1)=1,"",IF(AND(YEAR(JunSun1+2)=CalendarYear,MONTH(JunSun1+2)=6),JunSun1+2,""))</f>
        <v>46174</v>
      </c>
      <c r="E40" s="12">
        <f>IF(DAY(JunSun1)=1,"",IF(AND(YEAR(JunSun1+3)=CalendarYear,MONTH(JunSun1+3)=6),JunSun1+3,""))</f>
        <v>46175</v>
      </c>
      <c r="F40" s="12">
        <f>IF(DAY(JunSun1)=1,"",IF(AND(YEAR(JunSun1+4)=CalendarYear,MONTH(JunSun1+4)=6),JunSun1+4,""))</f>
        <v>46176</v>
      </c>
      <c r="G40" s="12">
        <f>IF(DAY(JunSun1)=1,"",IF(AND(YEAR(JunSun1+5)=CalendarYear,MONTH(JunSun1+5)=6),JunSun1+5,""))</f>
        <v>46177</v>
      </c>
      <c r="H40" s="12">
        <f>IF(DAY(JunSun1)=1,"",IF(AND(YEAR(JunSun1+6)=CalendarYear,MONTH(JunSun1+6)=6),JunSun1+6,""))</f>
        <v>46178</v>
      </c>
      <c r="I40" s="12">
        <f>IF(DAY(JunSun1)=1,IF(AND(YEAR(JunSun1)=CalendarYear,MONTH(JunSun1)=6),JunSun1,""),IF(AND(YEAR(JunSun1+7)=CalendarYear,MONTH(JunSun1+7)=6),JunSun1+7,""))</f>
        <v>46179</v>
      </c>
      <c r="J40" s="12">
        <f>IF(DAY(JunSun1)=1,IF(AND(YEAR(JunSun1+1)=CalendarYear,MONTH(JunSun1+1)=6),JunSun1+1,""),IF(AND(YEAR(JunSun1+8)=CalendarYear,MONTH(JunSun1+8)=6),JunSun1+8,""))</f>
        <v>46180</v>
      </c>
      <c r="K40" s="12">
        <f>IF(DAY(JunSun1)=1,IF(AND(YEAR(JunSun1+2)=CalendarYear,MONTH(JunSun1+2)=6),JunSun1+2,""),IF(AND(YEAR(JunSun1+9)=CalendarYear,MONTH(JunSun1+9)=6),JunSun1+9,""))</f>
        <v>46181</v>
      </c>
      <c r="L40" s="12">
        <f>IF(DAY(JunSun1)=1,IF(AND(YEAR(JunSun1+3)=CalendarYear,MONTH(JunSun1+3)=6),JunSun1+3,""),IF(AND(YEAR(JunSun1+10)=CalendarYear,MONTH(JunSun1+10)=6),JunSun1+10,""))</f>
        <v>46182</v>
      </c>
      <c r="M40" s="12">
        <f>IF(DAY(JunSun1)=1,IF(AND(YEAR(JunSun1+4)=CalendarYear,MONTH(JunSun1+4)=6),JunSun1+4,""),IF(AND(YEAR(JunSun1+11)=CalendarYear,MONTH(JunSun1+11)=6),JunSun1+11,""))</f>
        <v>46183</v>
      </c>
      <c r="N40" s="12">
        <f>IF(DAY(JunSun1)=1,IF(AND(YEAR(JunSun1+5)=CalendarYear,MONTH(JunSun1+5)=6),JunSun1+5,""),IF(AND(YEAR(JunSun1+12)=CalendarYear,MONTH(JunSun1+12)=6),JunSun1+12,""))</f>
        <v>46184</v>
      </c>
      <c r="O40" s="12">
        <f>IF(DAY(JunSun1)=1,IF(AND(YEAR(JunSun1+6)=CalendarYear,MONTH(JunSun1+6)=6),JunSun1+6,""),IF(AND(YEAR(JunSun1+13)=CalendarYear,MONTH(JunSun1+13)=6),JunSun1+13,""))</f>
        <v>46185</v>
      </c>
      <c r="P40" s="12">
        <f>IF(DAY(JunSun1)=1,IF(AND(YEAR(JunSun1+7)=CalendarYear,MONTH(JunSun1+7)=6),JunSun1+7,""),IF(AND(YEAR(JunSun1+14)=CalendarYear,MONTH(JunSun1+14)=6),JunSun1+14,""))</f>
        <v>46186</v>
      </c>
      <c r="Q40" s="12">
        <f>IF(DAY(JunSun1)=1,IF(AND(YEAR(JunSun1+8)=CalendarYear,MONTH(JunSun1+8)=6),JunSun1+8,""),IF(AND(YEAR(JunSun1+15)=CalendarYear,MONTH(JunSun1+15)=6),JunSun1+15,""))</f>
        <v>46187</v>
      </c>
      <c r="R40" s="12">
        <f>IF(DAY(JunSun1)=1,IF(AND(YEAR(JunSun1+9)=CalendarYear,MONTH(JunSun1+9)=6),JunSun1+9,""),IF(AND(YEAR(JunSun1+16)=CalendarYear,MONTH(JunSun1+16)=6),JunSun1+16,""))</f>
        <v>46188</v>
      </c>
      <c r="S40" s="12">
        <f>IF(DAY(JunSun1)=1,IF(AND(YEAR(JunSun1+10)=CalendarYear,MONTH(JunSun1+10)=6),JunSun1+10,""),IF(AND(YEAR(JunSun1+17)=CalendarYear,MONTH(JunSun1+17)=6),JunSun1+17,""))</f>
        <v>46189</v>
      </c>
      <c r="T40" s="12">
        <f>IF(DAY(JunSun1)=1,IF(AND(YEAR(JunSun1+11)=CalendarYear,MONTH(JunSun1+11)=6),JunSun1+11,""),IF(AND(YEAR(JunSun1+18)=CalendarYear,MONTH(JunSun1+18)=6),JunSun1+18,""))</f>
        <v>46190</v>
      </c>
      <c r="U40" s="12">
        <f>IF(DAY(JunSun1)=1,IF(AND(YEAR(JunSun1+12)=CalendarYear,MONTH(JunSun1+12)=6),JunSun1+12,""),IF(AND(YEAR(JunSun1+19)=CalendarYear,MONTH(JunSun1+19)=6),JunSun1+19,""))</f>
        <v>46191</v>
      </c>
      <c r="V40" s="12">
        <f>IF(DAY(JunSun1)=1,IF(AND(YEAR(JunSun1+13)=CalendarYear,MONTH(JunSun1+13)=6),JunSun1+13,""),IF(AND(YEAR(JunSun1+20)=CalendarYear,MONTH(JunSun1+20)=6),JunSun1+20,""))</f>
        <v>46192</v>
      </c>
      <c r="W40" s="12">
        <f>IF(DAY(JunSun1)=1,IF(AND(YEAR(JunSun1+14)=CalendarYear,MONTH(JunSun1+14)=6),JunSun1+14,""),IF(AND(YEAR(JunSun1+21)=CalendarYear,MONTH(JunSun1+21)=6),JunSun1+21,""))</f>
        <v>46193</v>
      </c>
      <c r="X40" s="12">
        <f>IF(DAY(JunSun1)=1,IF(AND(YEAR(JunSun1+15)=CalendarYear,MONTH(JunSun1+15)=6),JunSun1+15,""),IF(AND(YEAR(JunSun1+22)=CalendarYear,MONTH(JunSun1+22)=6),JunSun1+22,""))</f>
        <v>46194</v>
      </c>
      <c r="Y40" s="12">
        <f>IF(DAY(JunSun1)=1,IF(AND(YEAR(JunSun1+16)=CalendarYear,MONTH(JunSun1+16)=6),JunSun1+16,""),IF(AND(YEAR(JunSun1+23)=CalendarYear,MONTH(JunSun1+23)=6),JunSun1+23,""))</f>
        <v>46195</v>
      </c>
      <c r="Z40" s="12">
        <f>IF(DAY(JunSun1)=1,IF(AND(YEAR(JunSun1+17)=CalendarYear,MONTH(JunSun1+17)=6),JunSun1+17,""),IF(AND(YEAR(JunSun1+24)=CalendarYear,MONTH(JunSun1+24)=6),JunSun1+24,""))</f>
        <v>46196</v>
      </c>
      <c r="AA40" s="12">
        <f>IF(DAY(JunSun1)=1,IF(AND(YEAR(JunSun1+18)=CalendarYear,MONTH(JunSun1+18)=6),JunSun1+18,""),IF(AND(YEAR(JunSun1+25)=CalendarYear,MONTH(JunSun1+25)=6),JunSun1+25,""))</f>
        <v>46197</v>
      </c>
      <c r="AB40" s="12">
        <f>IF(DAY(JunSun1)=1,IF(AND(YEAR(JunSun1+19)=CalendarYear,MONTH(JunSun1+19)=6),JunSun1+19,""),IF(AND(YEAR(JunSun1+26)=CalendarYear,MONTH(JunSun1+26)=6),JunSun1+26,""))</f>
        <v>46198</v>
      </c>
      <c r="AC40" s="12">
        <f>IF(DAY(JunSun1)=1,IF(AND(YEAR(JunSun1+20)=CalendarYear,MONTH(JunSun1+20)=6),JunSun1+20,""),IF(AND(YEAR(JunSun1+27)=CalendarYear,MONTH(JunSun1+27)=6),JunSun1+27,""))</f>
        <v>46199</v>
      </c>
      <c r="AD40" s="12">
        <f>IF(DAY(JunSun1)=1,IF(AND(YEAR(JunSun1+21)=CalendarYear,MONTH(JunSun1+21)=6),JunSun1+21,""),IF(AND(YEAR(JunSun1+28)=CalendarYear,MONTH(JunSun1+28)=6),JunSun1+28,""))</f>
        <v>46200</v>
      </c>
      <c r="AE40" s="12">
        <f>IF(DAY(JunSun1)=1,IF(AND(YEAR(JunSun1+22)=CalendarYear,MONTH(JunSun1+22)=6),JunSun1+22,""),IF(AND(YEAR(JunSun1+29)=CalendarYear,MONTH(JunSun1+29)=6),JunSun1+29,""))</f>
        <v>46201</v>
      </c>
      <c r="AF40" s="12">
        <f>IF(DAY(JunSun1)=1,IF(AND(YEAR(JunSun1+23)=CalendarYear,MONTH(JunSun1+23)=6),JunSun1+23,""),IF(AND(YEAR(JunSun1+30)=CalendarYear,MONTH(JunSun1+30)=6),JunSun1+30,""))</f>
        <v>46202</v>
      </c>
      <c r="AG40" s="12">
        <f>IF(DAY(JunSun1)=1,IF(AND(YEAR(JunSun1+24)=CalendarYear,MONTH(JunSun1+24)=6),JunSun1+24,""),IF(AND(YEAR(JunSun1+31)=CalendarYear,MONTH(JunSun1+31)=6),JunSun1+31,""))</f>
        <v>46203</v>
      </c>
      <c r="AH40" s="12" t="str">
        <f>IF(DAY(JunSun1)=1,IF(AND(YEAR(JunSun1+25)=CalendarYear,MONTH(JunSun1+25)=6),JunSun1+25,""),IF(AND(YEAR(JunSun1+32)=CalendarYear,MONTH(JunSun1+32)=6),JunSun1+32,""))</f>
        <v/>
      </c>
      <c r="AI40" s="12" t="str">
        <f>IF(DAY(JunSun1)=1,IF(AND(YEAR(JunSun1+26)=CalendarYear,MONTH(JunSun1+26)=6),JunSun1+26,""),IF(AND(YEAR(JunSun1+33)=CalendarYear,MONTH(JunSun1+33)=6),JunSun1+33,""))</f>
        <v/>
      </c>
      <c r="AJ40" s="12" t="str">
        <f>IF(DAY(JunSun1)=1,IF(AND(YEAR(JunSun1+27)=CalendarYear,MONTH(JunSun1+27)=6),JunSun1+27,""),IF(AND(YEAR(JunSun1+34)=CalendarYear,MONTH(JunSun1+34)=6),JunSun1+34,""))</f>
        <v/>
      </c>
      <c r="AK40" s="12" t="str">
        <f>IF(DAY(JunSun1)=1,IF(AND(YEAR(JunSun1+28)=CalendarYear,MONTH(JunSun1+28)=6),JunSun1+28,""),IF(AND(YEAR(JunSun1+35)=CalendarYear,MONTH(JunSun1+35)=6),JunSun1+35,""))</f>
        <v/>
      </c>
      <c r="AL40" s="12" t="str">
        <f>IF(DAY(JunSun1)=1,IF(AND(YEAR(JunSun1+29)=CalendarYear,MONTH(JunSun1+29)=6),JunSun1+29,""),IF(AND(YEAR(JunSun1+36)=CalendarYear,MONTH(JunSun1+36)=6),JunSun1+36,""))</f>
        <v/>
      </c>
      <c r="AM40" s="13" t="str">
        <f>IF(DAY(JunSun1)=1,IF(AND(YEAR(JunSun1+30)=CalendarYear,MONTH(JunSun1+30)=6),JunSun1+30,""),IF(AND(YEAR(JunSun1+37)=CalendarYear,MONTH(JunSun1+37)=6),JunSun1+37,""))</f>
        <v/>
      </c>
    </row>
    <row r="41" spans="2:39" s="10" customFormat="1" ht="19.05" customHeight="1" thickBot="1" x14ac:dyDescent="0.4">
      <c r="B41" s="66"/>
      <c r="C41" s="11" t="s">
        <v>0</v>
      </c>
      <c r="D41" s="11" t="s">
        <v>1</v>
      </c>
      <c r="E41" s="11" t="s">
        <v>2</v>
      </c>
      <c r="F41" s="11" t="s">
        <v>3</v>
      </c>
      <c r="G41" s="11" t="s">
        <v>4</v>
      </c>
      <c r="H41" s="11" t="s">
        <v>5</v>
      </c>
      <c r="I41" s="11" t="s">
        <v>6</v>
      </c>
      <c r="J41" s="11" t="s">
        <v>0</v>
      </c>
      <c r="K41" s="11" t="s">
        <v>1</v>
      </c>
      <c r="L41" s="11" t="s">
        <v>2</v>
      </c>
      <c r="M41" s="11" t="s">
        <v>3</v>
      </c>
      <c r="N41" s="11" t="s">
        <v>4</v>
      </c>
      <c r="O41" s="11" t="s">
        <v>5</v>
      </c>
      <c r="P41" s="11" t="s">
        <v>6</v>
      </c>
      <c r="Q41" s="11" t="s">
        <v>0</v>
      </c>
      <c r="R41" s="11" t="s">
        <v>1</v>
      </c>
      <c r="S41" s="11" t="s">
        <v>2</v>
      </c>
      <c r="T41" s="11" t="s">
        <v>3</v>
      </c>
      <c r="U41" s="11" t="s">
        <v>4</v>
      </c>
      <c r="V41" s="11" t="s">
        <v>5</v>
      </c>
      <c r="W41" s="11" t="s">
        <v>6</v>
      </c>
      <c r="X41" s="11" t="s">
        <v>0</v>
      </c>
      <c r="Y41" s="11" t="s">
        <v>1</v>
      </c>
      <c r="Z41" s="11" t="s">
        <v>2</v>
      </c>
      <c r="AA41" s="11" t="s">
        <v>3</v>
      </c>
      <c r="AB41" s="11" t="s">
        <v>4</v>
      </c>
      <c r="AC41" s="11" t="s">
        <v>5</v>
      </c>
      <c r="AD41" s="11" t="s">
        <v>6</v>
      </c>
      <c r="AE41" s="11" t="s">
        <v>0</v>
      </c>
      <c r="AF41" s="11" t="s">
        <v>1</v>
      </c>
      <c r="AG41" s="11" t="s">
        <v>2</v>
      </c>
      <c r="AH41" s="11" t="s">
        <v>3</v>
      </c>
      <c r="AI41" s="11" t="s">
        <v>4</v>
      </c>
      <c r="AJ41" s="11" t="s">
        <v>5</v>
      </c>
      <c r="AK41" s="11" t="s">
        <v>6</v>
      </c>
      <c r="AL41" s="11" t="s">
        <v>0</v>
      </c>
      <c r="AM41" s="14" t="s">
        <v>1</v>
      </c>
    </row>
    <row r="42" spans="2:39" ht="19.05" customHeight="1" thickBot="1" x14ac:dyDescent="0.4">
      <c r="B42" s="36" t="s">
        <v>29</v>
      </c>
      <c r="C42" s="28"/>
      <c r="D42" s="96" t="s">
        <v>16</v>
      </c>
      <c r="E42" s="97"/>
      <c r="F42" s="97"/>
      <c r="G42" s="97"/>
      <c r="H42" s="9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52" t="s">
        <v>10</v>
      </c>
      <c r="Z42" s="71" t="s">
        <v>11</v>
      </c>
      <c r="AA42" s="72" t="e">
        <f t="shared" ref="AA42:AC42" si="3">IF(OR(NOT(ISNUMBER(AA40)),AA40&lt;Job1_StartDate),"",IF(MID(Job1_Pattern,MOD(AA40-Job1_StartDate,LEN(Job1_Pattern))+1,1)=Job1_Shift1_Code,1,IF(MID(Job1_Pattern,MOD(AA40-Job1_StartDate,LEN(Job1_Pattern))+1,1)=Job1_Shift2_Code,2,IF(MID(Job1_Pattern,MOD(AA40-Job1_StartDate,LEN(Job1_Pattern))+1,1)=Job1_Shift3_Code,3,""))))</f>
        <v>#REF!</v>
      </c>
      <c r="AB42" s="72" t="e">
        <f t="shared" si="3"/>
        <v>#REF!</v>
      </c>
      <c r="AC42" s="73" t="e">
        <f t="shared" si="3"/>
        <v>#REF!</v>
      </c>
      <c r="AD42" s="28"/>
      <c r="AE42" s="28"/>
      <c r="AF42" s="28"/>
      <c r="AG42" s="28"/>
      <c r="AH42" s="28"/>
      <c r="AI42" s="28"/>
      <c r="AJ42" s="28"/>
      <c r="AK42" s="28"/>
      <c r="AL42" s="28"/>
      <c r="AM42" s="28"/>
    </row>
    <row r="43" spans="2:39" ht="19.05" customHeight="1" thickTop="1" thickBot="1" x14ac:dyDescent="0.4">
      <c r="B43" s="46" t="s">
        <v>28</v>
      </c>
      <c r="C43" s="37"/>
      <c r="D43" s="117" t="s">
        <v>31</v>
      </c>
      <c r="E43" s="118"/>
      <c r="F43" s="118"/>
      <c r="G43" s="118"/>
      <c r="H43" s="119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8"/>
    </row>
    <row r="44" spans="2:39" ht="19.05" customHeight="1" thickTop="1" x14ac:dyDescent="0.35">
      <c r="B44" s="8" t="s">
        <v>25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</row>
    <row r="45" spans="2:39" ht="19.05" customHeight="1" x14ac:dyDescent="0.35">
      <c r="B45" s="9" t="s">
        <v>27</v>
      </c>
      <c r="C45" s="17"/>
      <c r="D45" s="26"/>
      <c r="E45" s="26"/>
      <c r="F45" s="26"/>
      <c r="G45" s="26"/>
      <c r="H45" s="26"/>
      <c r="I45" s="26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2:39" ht="12" customHeight="1" x14ac:dyDescent="0.35"/>
    <row r="47" spans="2:39" s="10" customFormat="1" ht="19.05" customHeight="1" x14ac:dyDescent="0.35">
      <c r="B47" s="65">
        <f>DATE(CalendarYear,7,1)</f>
        <v>46204</v>
      </c>
      <c r="C47" s="12" t="str">
        <f>IF(DAY(JulSun1)=1,"",IF(AND(YEAR(JulSun1+1)=CalendarYear,MONTH(JulSun1+1)=7),JulSun1+1,""))</f>
        <v/>
      </c>
      <c r="D47" s="12" t="str">
        <f>IF(DAY(JulSun1)=1,"",IF(AND(YEAR(JulSun1+2)=CalendarYear,MONTH(JulSun1+2)=7),JulSun1+2,""))</f>
        <v/>
      </c>
      <c r="E47" s="12" t="str">
        <f>IF(DAY(JulSun1)=1,"",IF(AND(YEAR(JulSun1+3)=CalendarYear,MONTH(JulSun1+3)=7),JulSun1+3,""))</f>
        <v/>
      </c>
      <c r="F47" s="12">
        <f>IF(DAY(JulSun1)=1,"",IF(AND(YEAR(JulSun1+4)=CalendarYear,MONTH(JulSun1+4)=7),JulSun1+4,""))</f>
        <v>46204</v>
      </c>
      <c r="G47" s="12">
        <f>IF(DAY(JulSun1)=1,"",IF(AND(YEAR(JulSun1+5)=CalendarYear,MONTH(JulSun1+5)=7),JulSun1+5,""))</f>
        <v>46205</v>
      </c>
      <c r="H47" s="12">
        <f>IF(DAY(JulSun1)=1,"",IF(AND(YEAR(JulSun1+6)=CalendarYear,MONTH(JulSun1+6)=7),JulSun1+6,""))</f>
        <v>46206</v>
      </c>
      <c r="I47" s="12">
        <f>IF(DAY(JulSun1)=1,IF(AND(YEAR(JulSun1)=CalendarYear,MONTH(JulSun1)=7),JulSun1,""),IF(AND(YEAR(JulSun1+7)=CalendarYear,MONTH(JulSun1+7)=7),JulSun1+7,""))</f>
        <v>46207</v>
      </c>
      <c r="J47" s="12">
        <f>IF(DAY(JulSun1)=1,IF(AND(YEAR(JulSun1+1)=CalendarYear,MONTH(JulSun1+1)=7),JulSun1+1,""),IF(AND(YEAR(JulSun1+8)=CalendarYear,MONTH(JulSun1+8)=7),JulSun1+8,""))</f>
        <v>46208</v>
      </c>
      <c r="K47" s="12">
        <f>IF(DAY(JulSun1)=1,IF(AND(YEAR(JulSun1+2)=CalendarYear,MONTH(JulSun1+2)=7),JulSun1+2,""),IF(AND(YEAR(JulSun1+9)=CalendarYear,MONTH(JulSun1+9)=7),JulSun1+9,""))</f>
        <v>46209</v>
      </c>
      <c r="L47" s="12">
        <f>IF(DAY(JulSun1)=1,IF(AND(YEAR(JulSun1+3)=CalendarYear,MONTH(JulSun1+3)=7),JulSun1+3,""),IF(AND(YEAR(JulSun1+10)=CalendarYear,MONTH(JulSun1+10)=7),JulSun1+10,""))</f>
        <v>46210</v>
      </c>
      <c r="M47" s="12">
        <f>IF(DAY(JulSun1)=1,IF(AND(YEAR(JulSun1+4)=CalendarYear,MONTH(JulSun1+4)=7),JulSun1+4,""),IF(AND(YEAR(JulSun1+11)=CalendarYear,MONTH(JulSun1+11)=7),JulSun1+11,""))</f>
        <v>46211</v>
      </c>
      <c r="N47" s="12">
        <f>IF(DAY(JulSun1)=1,IF(AND(YEAR(JulSun1+5)=CalendarYear,MONTH(JulSun1+5)=7),JulSun1+5,""),IF(AND(YEAR(JulSun1+12)=CalendarYear,MONTH(JulSun1+12)=7),JulSun1+12,""))</f>
        <v>46212</v>
      </c>
      <c r="O47" s="12">
        <f>IF(DAY(JulSun1)=1,IF(AND(YEAR(JulSun1+6)=CalendarYear,MONTH(JulSun1+6)=7),JulSun1+6,""),IF(AND(YEAR(JulSun1+13)=CalendarYear,MONTH(JulSun1+13)=7),JulSun1+13,""))</f>
        <v>46213</v>
      </c>
      <c r="P47" s="12">
        <f>IF(DAY(JulSun1)=1,IF(AND(YEAR(JulSun1+7)=CalendarYear,MONTH(JulSun1+7)=7),JulSun1+7,""),IF(AND(YEAR(JulSun1+14)=CalendarYear,MONTH(JulSun1+14)=7),JulSun1+14,""))</f>
        <v>46214</v>
      </c>
      <c r="Q47" s="12">
        <f>IF(DAY(JulSun1)=1,IF(AND(YEAR(JulSun1+8)=CalendarYear,MONTH(JulSun1+8)=7),JulSun1+8,""),IF(AND(YEAR(JulSun1+15)=CalendarYear,MONTH(JulSun1+15)=7),JulSun1+15,""))</f>
        <v>46215</v>
      </c>
      <c r="R47" s="12">
        <f>IF(DAY(JulSun1)=1,IF(AND(YEAR(JulSun1+9)=CalendarYear,MONTH(JulSun1+9)=7),JulSun1+9,""),IF(AND(YEAR(JulSun1+16)=CalendarYear,MONTH(JulSun1+16)=7),JulSun1+16,""))</f>
        <v>46216</v>
      </c>
      <c r="S47" s="12">
        <f>IF(DAY(JulSun1)=1,IF(AND(YEAR(JulSun1+10)=CalendarYear,MONTH(JulSun1+10)=7),JulSun1+10,""),IF(AND(YEAR(JulSun1+17)=CalendarYear,MONTH(JulSun1+17)=7),JulSun1+17,""))</f>
        <v>46217</v>
      </c>
      <c r="T47" s="12">
        <f>IF(DAY(JulSun1)=1,IF(AND(YEAR(JulSun1+11)=CalendarYear,MONTH(JulSun1+11)=7),JulSun1+11,""),IF(AND(YEAR(JulSun1+18)=CalendarYear,MONTH(JulSun1+18)=7),JulSun1+18,""))</f>
        <v>46218</v>
      </c>
      <c r="U47" s="12">
        <f>IF(DAY(JulSun1)=1,IF(AND(YEAR(JulSun1+12)=CalendarYear,MONTH(JulSun1+12)=7),JulSun1+12,""),IF(AND(YEAR(JulSun1+19)=CalendarYear,MONTH(JulSun1+19)=7),JulSun1+19,""))</f>
        <v>46219</v>
      </c>
      <c r="V47" s="12">
        <f>IF(DAY(JulSun1)=1,IF(AND(YEAR(JulSun1+13)=CalendarYear,MONTH(JulSun1+13)=7),JulSun1+13,""),IF(AND(YEAR(JulSun1+20)=CalendarYear,MONTH(JulSun1+20)=7),JulSun1+20,""))</f>
        <v>46220</v>
      </c>
      <c r="W47" s="12">
        <f>IF(DAY(JulSun1)=1,IF(AND(YEAR(JulSun1+14)=CalendarYear,MONTH(JulSun1+14)=7),JulSun1+14,""),IF(AND(YEAR(JulSun1+21)=CalendarYear,MONTH(JulSun1+21)=7),JulSun1+21,""))</f>
        <v>46221</v>
      </c>
      <c r="X47" s="12">
        <f>IF(DAY(JulSun1)=1,IF(AND(YEAR(JulSun1+15)=CalendarYear,MONTH(JulSun1+15)=7),JulSun1+15,""),IF(AND(YEAR(JulSun1+22)=CalendarYear,MONTH(JulSun1+22)=7),JulSun1+22,""))</f>
        <v>46222</v>
      </c>
      <c r="Y47" s="12">
        <f>IF(DAY(JulSun1)=1,IF(AND(YEAR(JulSun1+16)=CalendarYear,MONTH(JulSun1+16)=7),JulSun1+16,""),IF(AND(YEAR(JulSun1+23)=CalendarYear,MONTH(JulSun1+23)=7),JulSun1+23,""))</f>
        <v>46223</v>
      </c>
      <c r="Z47" s="12">
        <f>IF(DAY(JulSun1)=1,IF(AND(YEAR(JulSun1+17)=CalendarYear,MONTH(JulSun1+17)=7),JulSun1+17,""),IF(AND(YEAR(JulSun1+24)=CalendarYear,MONTH(JulSun1+24)=7),JulSun1+24,""))</f>
        <v>46224</v>
      </c>
      <c r="AA47" s="12">
        <f>IF(DAY(JulSun1)=1,IF(AND(YEAR(JulSun1+18)=CalendarYear,MONTH(JulSun1+18)=7),JulSun1+18,""),IF(AND(YEAR(JulSun1+25)=CalendarYear,MONTH(JulSun1+25)=7),JulSun1+25,""))</f>
        <v>46225</v>
      </c>
      <c r="AB47" s="12">
        <f>IF(DAY(JulSun1)=1,IF(AND(YEAR(JulSun1+19)=CalendarYear,MONTH(JulSun1+19)=7),JulSun1+19,""),IF(AND(YEAR(JulSun1+26)=CalendarYear,MONTH(JulSun1+26)=7),JulSun1+26,""))</f>
        <v>46226</v>
      </c>
      <c r="AC47" s="12">
        <f>IF(DAY(JulSun1)=1,IF(AND(YEAR(JulSun1+20)=CalendarYear,MONTH(JulSun1+20)=7),JulSun1+20,""),IF(AND(YEAR(JulSun1+27)=CalendarYear,MONTH(JulSun1+27)=7),JulSun1+27,""))</f>
        <v>46227</v>
      </c>
      <c r="AD47" s="12">
        <f>IF(DAY(JulSun1)=1,IF(AND(YEAR(JulSun1+21)=CalendarYear,MONTH(JulSun1+21)=7),JulSun1+21,""),IF(AND(YEAR(JulSun1+28)=CalendarYear,MONTH(JulSun1+28)=7),JulSun1+28,""))</f>
        <v>46228</v>
      </c>
      <c r="AE47" s="12">
        <f>IF(DAY(JulSun1)=1,IF(AND(YEAR(JulSun1+22)=CalendarYear,MONTH(JulSun1+22)=7),JulSun1+22,""),IF(AND(YEAR(JulSun1+29)=CalendarYear,MONTH(JulSun1+29)=7),JulSun1+29,""))</f>
        <v>46229</v>
      </c>
      <c r="AF47" s="12">
        <f>IF(DAY(JulSun1)=1,IF(AND(YEAR(JulSun1+23)=CalendarYear,MONTH(JulSun1+23)=7),JulSun1+23,""),IF(AND(YEAR(JulSun1+30)=CalendarYear,MONTH(JulSun1+30)=7),JulSun1+30,""))</f>
        <v>46230</v>
      </c>
      <c r="AG47" s="12">
        <f>IF(DAY(JulSun1)=1,IF(AND(YEAR(JulSun1+24)=CalendarYear,MONTH(JulSun1+24)=7),JulSun1+24,""),IF(AND(YEAR(JulSun1+31)=CalendarYear,MONTH(JulSun1+31)=7),JulSun1+31,""))</f>
        <v>46231</v>
      </c>
      <c r="AH47" s="12">
        <f>IF(DAY(JulSun1)=1,IF(AND(YEAR(JulSun1+25)=CalendarYear,MONTH(JulSun1+25)=7),JulSun1+25,""),IF(AND(YEAR(JulSun1+32)=CalendarYear,MONTH(JulSun1+32)=7),JulSun1+32,""))</f>
        <v>46232</v>
      </c>
      <c r="AI47" s="12">
        <f>IF(DAY(JulSun1)=1,IF(AND(YEAR(JulSun1+26)=CalendarYear,MONTH(JulSun1+26)=7),JulSun1+26,""),IF(AND(YEAR(JulSun1+33)=CalendarYear,MONTH(JulSun1+33)=7),JulSun1+33,""))</f>
        <v>46233</v>
      </c>
      <c r="AJ47" s="12">
        <f>IF(DAY(JulSun1)=1,IF(AND(YEAR(JulSun1+27)=CalendarYear,MONTH(JulSun1+27)=7),JulSun1+27,""),IF(AND(YEAR(JulSun1+34)=CalendarYear,MONTH(JulSun1+34)=7),JulSun1+34,""))</f>
        <v>46234</v>
      </c>
      <c r="AK47" s="12" t="str">
        <f>IF(DAY(JulSun1)=1,IF(AND(YEAR(JulSun1+28)=CalendarYear,MONTH(JulSun1+28)=7),JulSun1+28,""),IF(AND(YEAR(JulSun1+35)=CalendarYear,MONTH(JulSun1+35)=7),JulSun1+35,""))</f>
        <v/>
      </c>
      <c r="AL47" s="12" t="str">
        <f>IF(DAY(JulSun1)=1,IF(AND(YEAR(JulSun1+29)=CalendarYear,MONTH(JulSun1+29)=7),JulSun1+29,""),IF(AND(YEAR(JulSun1+36)=CalendarYear,MONTH(JulSun1+36)=7),JulSun1+36,""))</f>
        <v/>
      </c>
      <c r="AM47" s="13" t="str">
        <f>IF(DAY(JulSun1)=1,IF(AND(YEAR(JulSun1+30)=CalendarYear,MONTH(JulSun1+30)=7),JulSun1+30,""),IF(AND(YEAR(JulSun1+37)=CalendarYear,MONTH(JulSun1+37)=7),JulSun1+37,""))</f>
        <v/>
      </c>
    </row>
    <row r="48" spans="2:39" s="10" customFormat="1" ht="19.05" customHeight="1" x14ac:dyDescent="0.35">
      <c r="B48" s="66"/>
      <c r="C48" s="11" t="s">
        <v>0</v>
      </c>
      <c r="D48" s="11" t="s">
        <v>1</v>
      </c>
      <c r="E48" s="11" t="s">
        <v>2</v>
      </c>
      <c r="F48" s="11" t="s">
        <v>3</v>
      </c>
      <c r="G48" s="11" t="s">
        <v>4</v>
      </c>
      <c r="H48" s="11" t="s">
        <v>5</v>
      </c>
      <c r="I48" s="11" t="s">
        <v>6</v>
      </c>
      <c r="J48" s="11" t="s">
        <v>0</v>
      </c>
      <c r="K48" s="11" t="s">
        <v>1</v>
      </c>
      <c r="L48" s="11" t="s">
        <v>2</v>
      </c>
      <c r="M48" s="11" t="s">
        <v>3</v>
      </c>
      <c r="N48" s="11" t="s">
        <v>4</v>
      </c>
      <c r="O48" s="11" t="s">
        <v>5</v>
      </c>
      <c r="P48" s="11" t="s">
        <v>6</v>
      </c>
      <c r="Q48" s="11" t="s">
        <v>0</v>
      </c>
      <c r="R48" s="11" t="s">
        <v>1</v>
      </c>
      <c r="S48" s="11" t="s">
        <v>2</v>
      </c>
      <c r="T48" s="11" t="s">
        <v>3</v>
      </c>
      <c r="U48" s="11" t="s">
        <v>4</v>
      </c>
      <c r="V48" s="11" t="s">
        <v>5</v>
      </c>
      <c r="W48" s="11" t="s">
        <v>6</v>
      </c>
      <c r="X48" s="11" t="s">
        <v>0</v>
      </c>
      <c r="Y48" s="11" t="s">
        <v>1</v>
      </c>
      <c r="Z48" s="11" t="s">
        <v>2</v>
      </c>
      <c r="AA48" s="11" t="s">
        <v>3</v>
      </c>
      <c r="AB48" s="11" t="s">
        <v>4</v>
      </c>
      <c r="AC48" s="11" t="s">
        <v>5</v>
      </c>
      <c r="AD48" s="11" t="s">
        <v>6</v>
      </c>
      <c r="AE48" s="11" t="s">
        <v>0</v>
      </c>
      <c r="AF48" s="11" t="s">
        <v>1</v>
      </c>
      <c r="AG48" s="11" t="s">
        <v>2</v>
      </c>
      <c r="AH48" s="11" t="s">
        <v>3</v>
      </c>
      <c r="AI48" s="11" t="s">
        <v>4</v>
      </c>
      <c r="AJ48" s="11" t="s">
        <v>5</v>
      </c>
      <c r="AK48" s="11" t="s">
        <v>6</v>
      </c>
      <c r="AL48" s="11" t="s">
        <v>0</v>
      </c>
      <c r="AM48" s="14" t="s">
        <v>1</v>
      </c>
    </row>
    <row r="49" spans="2:39" ht="19.05" customHeight="1" thickBot="1" x14ac:dyDescent="0.4">
      <c r="B49" s="36" t="s">
        <v>29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</row>
    <row r="50" spans="2:39" ht="19.05" customHeight="1" thickTop="1" thickBot="1" x14ac:dyDescent="0.4">
      <c r="B50" s="47" t="s">
        <v>34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8"/>
    </row>
    <row r="51" spans="2:39" ht="19.05" customHeight="1" thickTop="1" thickBot="1" x14ac:dyDescent="0.4">
      <c r="B51" s="8" t="s">
        <v>25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8"/>
      <c r="Y51" s="44"/>
      <c r="Z51" s="19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</row>
    <row r="52" spans="2:39" ht="19.05" customHeight="1" x14ac:dyDescent="0.35">
      <c r="B52" s="9" t="s">
        <v>27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6"/>
      <c r="Z52" s="17"/>
      <c r="AA52" s="17"/>
      <c r="AB52" s="17"/>
      <c r="AC52" s="17"/>
      <c r="AD52" s="17"/>
      <c r="AE52" s="17"/>
      <c r="AF52" s="17"/>
      <c r="AG52" s="17"/>
      <c r="AH52" s="17"/>
      <c r="AI52" s="26"/>
      <c r="AJ52" s="26"/>
      <c r="AK52" s="17"/>
      <c r="AL52" s="17"/>
      <c r="AM52" s="17"/>
    </row>
    <row r="53" spans="2:39" ht="12" customHeight="1" x14ac:dyDescent="0.35"/>
    <row r="54" spans="2:39" s="10" customFormat="1" ht="19.05" customHeight="1" x14ac:dyDescent="0.35">
      <c r="B54" s="65">
        <f>DATE(CalendarYear,8,1)</f>
        <v>46235</v>
      </c>
      <c r="C54" s="12" t="str">
        <f>IF(DAY(AugSun1)=1,"",IF(AND(YEAR(AugSun1+1)=CalendarYear,MONTH(AugSun1+1)=8),AugSun1+1,""))</f>
        <v/>
      </c>
      <c r="D54" s="12" t="str">
        <f>IF(DAY(AugSun1)=1,"",IF(AND(YEAR(AugSun1+2)=CalendarYear,MONTH(AugSun1+2)=8),AugSun1+2,""))</f>
        <v/>
      </c>
      <c r="E54" s="12" t="str">
        <f>IF(DAY(AugSun1)=1,"",IF(AND(YEAR(AugSun1+3)=CalendarYear,MONTH(AugSun1+3)=8),AugSun1+3,""))</f>
        <v/>
      </c>
      <c r="F54" s="12" t="str">
        <f>IF(DAY(AugSun1)=1,"",IF(AND(YEAR(AugSun1+4)=CalendarYear,MONTH(AugSun1+4)=8),AugSun1+4,""))</f>
        <v/>
      </c>
      <c r="G54" s="12" t="str">
        <f>IF(DAY(AugSun1)=1,"",IF(AND(YEAR(AugSun1+5)=CalendarYear,MONTH(AugSun1+5)=8),AugSun1+5,""))</f>
        <v/>
      </c>
      <c r="H54" s="12" t="str">
        <f>IF(DAY(AugSun1)=1,"",IF(AND(YEAR(AugSun1+6)=CalendarYear,MONTH(AugSun1+6)=8),AugSun1+6,""))</f>
        <v/>
      </c>
      <c r="I54" s="12">
        <f>IF(DAY(AugSun1)=1,IF(AND(YEAR(AugSun1)=CalendarYear,MONTH(AugSun1)=8),AugSun1,""),IF(AND(YEAR(AugSun1+7)=CalendarYear,MONTH(AugSun1+7)=8),AugSun1+7,""))</f>
        <v>46235</v>
      </c>
      <c r="J54" s="12">
        <f>IF(DAY(AugSun1)=1,IF(AND(YEAR(AugSun1+1)=CalendarYear,MONTH(AugSun1+1)=8),AugSun1+1,""),IF(AND(YEAR(AugSun1+8)=CalendarYear,MONTH(AugSun1+8)=8),AugSun1+8,""))</f>
        <v>46236</v>
      </c>
      <c r="K54" s="12">
        <f>IF(DAY(AugSun1)=1,IF(AND(YEAR(AugSun1+2)=CalendarYear,MONTH(AugSun1+2)=8),AugSun1+2,""),IF(AND(YEAR(AugSun1+9)=CalendarYear,MONTH(AugSun1+9)=8),AugSun1+9,""))</f>
        <v>46237</v>
      </c>
      <c r="L54" s="12">
        <f>IF(DAY(AugSun1)=1,IF(AND(YEAR(AugSun1+3)=CalendarYear,MONTH(AugSun1+3)=8),AugSun1+3,""),IF(AND(YEAR(AugSun1+10)=CalendarYear,MONTH(AugSun1+10)=8),AugSun1+10,""))</f>
        <v>46238</v>
      </c>
      <c r="M54" s="12">
        <f>IF(DAY(AugSun1)=1,IF(AND(YEAR(AugSun1+4)=CalendarYear,MONTH(AugSun1+4)=8),AugSun1+4,""),IF(AND(YEAR(AugSun1+11)=CalendarYear,MONTH(AugSun1+11)=8),AugSun1+11,""))</f>
        <v>46239</v>
      </c>
      <c r="N54" s="12">
        <f>IF(DAY(AugSun1)=1,IF(AND(YEAR(AugSun1+5)=CalendarYear,MONTH(AugSun1+5)=8),AugSun1+5,""),IF(AND(YEAR(AugSun1+12)=CalendarYear,MONTH(AugSun1+12)=8),AugSun1+12,""))</f>
        <v>46240</v>
      </c>
      <c r="O54" s="12">
        <f>IF(DAY(AugSun1)=1,IF(AND(YEAR(AugSun1+6)=CalendarYear,MONTH(AugSun1+6)=8),AugSun1+6,""),IF(AND(YEAR(AugSun1+13)=CalendarYear,MONTH(AugSun1+13)=8),AugSun1+13,""))</f>
        <v>46241</v>
      </c>
      <c r="P54" s="12">
        <f>IF(DAY(AugSun1)=1,IF(AND(YEAR(AugSun1+7)=CalendarYear,MONTH(AugSun1+7)=8),AugSun1+7,""),IF(AND(YEAR(AugSun1+14)=CalendarYear,MONTH(AugSun1+14)=8),AugSun1+14,""))</f>
        <v>46242</v>
      </c>
      <c r="Q54" s="12">
        <f>IF(DAY(AugSun1)=1,IF(AND(YEAR(AugSun1+8)=CalendarYear,MONTH(AugSun1+8)=8),AugSun1+8,""),IF(AND(YEAR(AugSun1+15)=CalendarYear,MONTH(AugSun1+15)=8),AugSun1+15,""))</f>
        <v>46243</v>
      </c>
      <c r="R54" s="12">
        <f>IF(DAY(AugSun1)=1,IF(AND(YEAR(AugSun1+9)=CalendarYear,MONTH(AugSun1+9)=8),AugSun1+9,""),IF(AND(YEAR(AugSun1+16)=CalendarYear,MONTH(AugSun1+16)=8),AugSun1+16,""))</f>
        <v>46244</v>
      </c>
      <c r="S54" s="12">
        <f>IF(DAY(AugSun1)=1,IF(AND(YEAR(AugSun1+10)=CalendarYear,MONTH(AugSun1+10)=8),AugSun1+10,""),IF(AND(YEAR(AugSun1+17)=CalendarYear,MONTH(AugSun1+17)=8),AugSun1+17,""))</f>
        <v>46245</v>
      </c>
      <c r="T54" s="12">
        <f>IF(DAY(AugSun1)=1,IF(AND(YEAR(AugSun1+11)=CalendarYear,MONTH(AugSun1+11)=8),AugSun1+11,""),IF(AND(YEAR(AugSun1+18)=CalendarYear,MONTH(AugSun1+18)=8),AugSun1+18,""))</f>
        <v>46246</v>
      </c>
      <c r="U54" s="12">
        <f>IF(DAY(AugSun1)=1,IF(AND(YEAR(AugSun1+12)=CalendarYear,MONTH(AugSun1+12)=8),AugSun1+12,""),IF(AND(YEAR(AugSun1+19)=CalendarYear,MONTH(AugSun1+19)=8),AugSun1+19,""))</f>
        <v>46247</v>
      </c>
      <c r="V54" s="12">
        <f>IF(DAY(AugSun1)=1,IF(AND(YEAR(AugSun1+13)=CalendarYear,MONTH(AugSun1+13)=8),AugSun1+13,""),IF(AND(YEAR(AugSun1+20)=CalendarYear,MONTH(AugSun1+20)=8),AugSun1+20,""))</f>
        <v>46248</v>
      </c>
      <c r="W54" s="12">
        <f>IF(DAY(AugSun1)=1,IF(AND(YEAR(AugSun1+14)=CalendarYear,MONTH(AugSun1+14)=8),AugSun1+14,""),IF(AND(YEAR(AugSun1+21)=CalendarYear,MONTH(AugSun1+21)=8),AugSun1+21,""))</f>
        <v>46249</v>
      </c>
      <c r="X54" s="12">
        <f>IF(DAY(AugSun1)=1,IF(AND(YEAR(AugSun1+15)=CalendarYear,MONTH(AugSun1+15)=8),AugSun1+15,""),IF(AND(YEAR(AugSun1+22)=CalendarYear,MONTH(AugSun1+22)=8),AugSun1+22,""))</f>
        <v>46250</v>
      </c>
      <c r="Y54" s="12">
        <f>IF(DAY(AugSun1)=1,IF(AND(YEAR(AugSun1+16)=CalendarYear,MONTH(AugSun1+16)=8),AugSun1+16,""),IF(AND(YEAR(AugSun1+23)=CalendarYear,MONTH(AugSun1+23)=8),AugSun1+23,""))</f>
        <v>46251</v>
      </c>
      <c r="Z54" s="12">
        <f>IF(DAY(AugSun1)=1,IF(AND(YEAR(AugSun1+17)=CalendarYear,MONTH(AugSun1+17)=8),AugSun1+17,""),IF(AND(YEAR(AugSun1+24)=CalendarYear,MONTH(AugSun1+24)=8),AugSun1+24,""))</f>
        <v>46252</v>
      </c>
      <c r="AA54" s="12">
        <f>IF(DAY(AugSun1)=1,IF(AND(YEAR(AugSun1+18)=CalendarYear,MONTH(AugSun1+18)=8),AugSun1+18,""),IF(AND(YEAR(AugSun1+25)=CalendarYear,MONTH(AugSun1+25)=8),AugSun1+25,""))</f>
        <v>46253</v>
      </c>
      <c r="AB54" s="12">
        <f>IF(DAY(AugSun1)=1,IF(AND(YEAR(AugSun1+19)=CalendarYear,MONTH(AugSun1+19)=8),AugSun1+19,""),IF(AND(YEAR(AugSun1+26)=CalendarYear,MONTH(AugSun1+26)=8),AugSun1+26,""))</f>
        <v>46254</v>
      </c>
      <c r="AC54" s="12">
        <f>IF(DAY(AugSun1)=1,IF(AND(YEAR(AugSun1+20)=CalendarYear,MONTH(AugSun1+20)=8),AugSun1+20,""),IF(AND(YEAR(AugSun1+27)=CalendarYear,MONTH(AugSun1+27)=8),AugSun1+27,""))</f>
        <v>46255</v>
      </c>
      <c r="AD54" s="12">
        <f>IF(DAY(AugSun1)=1,IF(AND(YEAR(AugSun1+21)=CalendarYear,MONTH(AugSun1+21)=8),AugSun1+21,""),IF(AND(YEAR(AugSun1+28)=CalendarYear,MONTH(AugSun1+28)=8),AugSun1+28,""))</f>
        <v>46256</v>
      </c>
      <c r="AE54" s="12">
        <f>IF(DAY(AugSun1)=1,IF(AND(YEAR(AugSun1+22)=CalendarYear,MONTH(AugSun1+22)=8),AugSun1+22,""),IF(AND(YEAR(AugSun1+29)=CalendarYear,MONTH(AugSun1+29)=8),AugSun1+29,""))</f>
        <v>46257</v>
      </c>
      <c r="AF54" s="12">
        <f>IF(DAY(AugSun1)=1,IF(AND(YEAR(AugSun1+23)=CalendarYear,MONTH(AugSun1+23)=8),AugSun1+23,""),IF(AND(YEAR(AugSun1+30)=CalendarYear,MONTH(AugSun1+30)=8),AugSun1+30,""))</f>
        <v>46258</v>
      </c>
      <c r="AG54" s="12">
        <f>IF(DAY(AugSun1)=1,IF(AND(YEAR(AugSun1+24)=CalendarYear,MONTH(AugSun1+24)=8),AugSun1+24,""),IF(AND(YEAR(AugSun1+31)=CalendarYear,MONTH(AugSun1+31)=8),AugSun1+31,""))</f>
        <v>46259</v>
      </c>
      <c r="AH54" s="12">
        <f>IF(DAY(AugSun1)=1,IF(AND(YEAR(AugSun1+25)=CalendarYear,MONTH(AugSun1+25)=8),AugSun1+25,""),IF(AND(YEAR(AugSun1+32)=CalendarYear,MONTH(AugSun1+32)=8),AugSun1+32,""))</f>
        <v>46260</v>
      </c>
      <c r="AI54" s="12">
        <f>IF(DAY(AugSun1)=1,IF(AND(YEAR(AugSun1+26)=CalendarYear,MONTH(AugSun1+26)=8),AugSun1+26,""),IF(AND(YEAR(AugSun1+33)=CalendarYear,MONTH(AugSun1+33)=8),AugSun1+33,""))</f>
        <v>46261</v>
      </c>
      <c r="AJ54" s="12">
        <f>IF(DAY(AugSun1)=1,IF(AND(YEAR(AugSun1+27)=CalendarYear,MONTH(AugSun1+27)=8),AugSun1+27,""),IF(AND(YEAR(AugSun1+34)=CalendarYear,MONTH(AugSun1+34)=8),AugSun1+34,""))</f>
        <v>46262</v>
      </c>
      <c r="AK54" s="12">
        <f>IF(DAY(AugSun1)=1,IF(AND(YEAR(AugSun1+28)=CalendarYear,MONTH(AugSun1+28)=8),AugSun1+28,""),IF(AND(YEAR(AugSun1+35)=CalendarYear,MONTH(AugSun1+35)=8),AugSun1+35,""))</f>
        <v>46263</v>
      </c>
      <c r="AL54" s="12">
        <f>IF(DAY(AugSun1)=1,IF(AND(YEAR(AugSun1+29)=CalendarYear,MONTH(AugSun1+29)=8),AugSun1+29,""),IF(AND(YEAR(AugSun1+36)=CalendarYear,MONTH(AugSun1+36)=8),AugSun1+36,""))</f>
        <v>46264</v>
      </c>
      <c r="AM54" s="13">
        <f>IF(DAY(AugSun1)=1,IF(AND(YEAR(AugSun1+30)=CalendarYear,MONTH(AugSun1+30)=8),AugSun1+30,""),IF(AND(YEAR(AugSun1+37)=CalendarYear,MONTH(AugSun1+37)=8),AugSun1+37,""))</f>
        <v>46265</v>
      </c>
    </row>
    <row r="55" spans="2:39" s="10" customFormat="1" ht="19.05" customHeight="1" thickBot="1" x14ac:dyDescent="0.4">
      <c r="B55" s="66"/>
      <c r="C55" s="11" t="s">
        <v>0</v>
      </c>
      <c r="D55" s="11" t="s">
        <v>1</v>
      </c>
      <c r="E55" s="11" t="s">
        <v>2</v>
      </c>
      <c r="F55" s="11" t="s">
        <v>3</v>
      </c>
      <c r="G55" s="11" t="s">
        <v>4</v>
      </c>
      <c r="H55" s="11" t="s">
        <v>5</v>
      </c>
      <c r="I55" s="11" t="s">
        <v>6</v>
      </c>
      <c r="J55" s="11" t="s">
        <v>0</v>
      </c>
      <c r="K55" s="11" t="s">
        <v>1</v>
      </c>
      <c r="L55" s="11" t="s">
        <v>2</v>
      </c>
      <c r="M55" s="11" t="s">
        <v>3</v>
      </c>
      <c r="N55" s="11" t="s">
        <v>4</v>
      </c>
      <c r="O55" s="11" t="s">
        <v>5</v>
      </c>
      <c r="P55" s="11" t="s">
        <v>6</v>
      </c>
      <c r="Q55" s="11" t="s">
        <v>0</v>
      </c>
      <c r="R55" s="11" t="s">
        <v>1</v>
      </c>
      <c r="S55" s="11" t="s">
        <v>2</v>
      </c>
      <c r="T55" s="11" t="s">
        <v>3</v>
      </c>
      <c r="U55" s="11" t="s">
        <v>4</v>
      </c>
      <c r="V55" s="11" t="s">
        <v>5</v>
      </c>
      <c r="W55" s="11" t="s">
        <v>6</v>
      </c>
      <c r="X55" s="11" t="s">
        <v>0</v>
      </c>
      <c r="Y55" s="11" t="s">
        <v>1</v>
      </c>
      <c r="Z55" s="11" t="s">
        <v>2</v>
      </c>
      <c r="AA55" s="11" t="s">
        <v>3</v>
      </c>
      <c r="AB55" s="11" t="s">
        <v>4</v>
      </c>
      <c r="AC55" s="11" t="s">
        <v>5</v>
      </c>
      <c r="AD55" s="11" t="s">
        <v>6</v>
      </c>
      <c r="AE55" s="11" t="s">
        <v>0</v>
      </c>
      <c r="AF55" s="11" t="s">
        <v>1</v>
      </c>
      <c r="AG55" s="11" t="s">
        <v>2</v>
      </c>
      <c r="AH55" s="11" t="s">
        <v>3</v>
      </c>
      <c r="AI55" s="11" t="s">
        <v>4</v>
      </c>
      <c r="AJ55" s="11" t="s">
        <v>5</v>
      </c>
      <c r="AK55" s="11" t="s">
        <v>6</v>
      </c>
      <c r="AL55" s="11" t="s">
        <v>0</v>
      </c>
      <c r="AM55" s="14" t="s">
        <v>1</v>
      </c>
    </row>
    <row r="56" spans="2:39" ht="19.05" customHeight="1" thickBot="1" x14ac:dyDescent="0.4">
      <c r="B56" s="8" t="s">
        <v>29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28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85" t="s">
        <v>24</v>
      </c>
      <c r="AI56" s="86"/>
      <c r="AJ56" s="87"/>
      <c r="AK56" s="16"/>
      <c r="AL56" s="16"/>
      <c r="AM56" s="16"/>
    </row>
    <row r="57" spans="2:39" ht="19.05" customHeight="1" thickTop="1" thickBot="1" x14ac:dyDescent="0.4">
      <c r="B57" s="46" t="s">
        <v>28</v>
      </c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61"/>
    </row>
    <row r="58" spans="2:39" ht="19.05" customHeight="1" thickTop="1" thickBot="1" x14ac:dyDescent="0.4">
      <c r="B58" s="9" t="s">
        <v>25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22"/>
      <c r="S58" s="32"/>
      <c r="T58" s="23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2:39" ht="19.05" customHeight="1" x14ac:dyDescent="0.35">
      <c r="B59" s="9" t="s">
        <v>27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9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</row>
    <row r="60" spans="2:39" ht="12" customHeight="1" x14ac:dyDescent="0.35"/>
    <row r="61" spans="2:39" s="10" customFormat="1" ht="19.05" customHeight="1" x14ac:dyDescent="0.35">
      <c r="B61" s="65">
        <f>DATE(CalendarYear,9,1)</f>
        <v>46266</v>
      </c>
      <c r="C61" s="12" t="str">
        <f>IF(DAY(SepSun1)=1,"",IF(AND(YEAR(SepSun1+1)=CalendarYear,MONTH(SepSun1+1)=9),SepSun1+1,""))</f>
        <v/>
      </c>
      <c r="D61" s="12" t="str">
        <f>IF(DAY(SepSun1)=1,"",IF(AND(YEAR(SepSun1+2)=CalendarYear,MONTH(SepSun1+2)=9),SepSun1+2,""))</f>
        <v/>
      </c>
      <c r="E61" s="12">
        <f>IF(DAY(SepSun1)=1,"",IF(AND(YEAR(SepSun1+3)=CalendarYear,MONTH(SepSun1+3)=9),SepSun1+3,""))</f>
        <v>46266</v>
      </c>
      <c r="F61" s="12">
        <f>IF(DAY(SepSun1)=1,"",IF(AND(YEAR(SepSun1+4)=CalendarYear,MONTH(SepSun1+4)=9),SepSun1+4,""))</f>
        <v>46267</v>
      </c>
      <c r="G61" s="12">
        <f>IF(DAY(SepSun1)=1,"",IF(AND(YEAR(SepSun1+5)=CalendarYear,MONTH(SepSun1+5)=9),SepSun1+5,""))</f>
        <v>46268</v>
      </c>
      <c r="H61" s="12">
        <f>IF(DAY(SepSun1)=1,"",IF(AND(YEAR(SepSun1+6)=CalendarYear,MONTH(SepSun1+6)=9),SepSun1+6,""))</f>
        <v>46269</v>
      </c>
      <c r="I61" s="12">
        <f>IF(DAY(SepSun1)=1,IF(AND(YEAR(SepSun1)=CalendarYear,MONTH(SepSun1)=9),SepSun1,""),IF(AND(YEAR(SepSun1+7)=CalendarYear,MONTH(SepSun1+7)=9),SepSun1+7,""))</f>
        <v>46270</v>
      </c>
      <c r="J61" s="12">
        <f>IF(DAY(SepSun1)=1,IF(AND(YEAR(SepSun1+1)=CalendarYear,MONTH(SepSun1+1)=9),SepSun1+1,""),IF(AND(YEAR(SepSun1+8)=CalendarYear,MONTH(SepSun1+8)=9),SepSun1+8,""))</f>
        <v>46271</v>
      </c>
      <c r="K61" s="12">
        <f>IF(DAY(SepSun1)=1,IF(AND(YEAR(SepSun1+2)=CalendarYear,MONTH(SepSun1+2)=9),SepSun1+2,""),IF(AND(YEAR(SepSun1+9)=CalendarYear,MONTH(SepSun1+9)=9),SepSun1+9,""))</f>
        <v>46272</v>
      </c>
      <c r="L61" s="12">
        <f>IF(DAY(SepSun1)=1,IF(AND(YEAR(SepSun1+3)=CalendarYear,MONTH(SepSun1+3)=9),SepSun1+3,""),IF(AND(YEAR(SepSun1+10)=CalendarYear,MONTH(SepSun1+10)=9),SepSun1+10,""))</f>
        <v>46273</v>
      </c>
      <c r="M61" s="12">
        <f>IF(DAY(SepSun1)=1,IF(AND(YEAR(SepSun1+4)=CalendarYear,MONTH(SepSun1+4)=9),SepSun1+4,""),IF(AND(YEAR(SepSun1+11)=CalendarYear,MONTH(SepSun1+11)=9),SepSun1+11,""))</f>
        <v>46274</v>
      </c>
      <c r="N61" s="12">
        <f>IF(DAY(SepSun1)=1,IF(AND(YEAR(SepSun1+5)=CalendarYear,MONTH(SepSun1+5)=9),SepSun1+5,""),IF(AND(YEAR(SepSun1+12)=CalendarYear,MONTH(SepSun1+12)=9),SepSun1+12,""))</f>
        <v>46275</v>
      </c>
      <c r="O61" s="12">
        <f>IF(DAY(SepSun1)=1,IF(AND(YEAR(SepSun1+6)=CalendarYear,MONTH(SepSun1+6)=9),SepSun1+6,""),IF(AND(YEAR(SepSun1+13)=CalendarYear,MONTH(SepSun1+13)=9),SepSun1+13,""))</f>
        <v>46276</v>
      </c>
      <c r="P61" s="12">
        <f>IF(DAY(SepSun1)=1,IF(AND(YEAR(SepSun1+7)=CalendarYear,MONTH(SepSun1+7)=9),SepSun1+7,""),IF(AND(YEAR(SepSun1+14)=CalendarYear,MONTH(SepSun1+14)=9),SepSun1+14,""))</f>
        <v>46277</v>
      </c>
      <c r="Q61" s="12">
        <f>IF(DAY(SepSun1)=1,IF(AND(YEAR(SepSun1+8)=CalendarYear,MONTH(SepSun1+8)=9),SepSun1+8,""),IF(AND(YEAR(SepSun1+15)=CalendarYear,MONTH(SepSun1+15)=9),SepSun1+15,""))</f>
        <v>46278</v>
      </c>
      <c r="R61" s="12">
        <f>IF(DAY(SepSun1)=1,IF(AND(YEAR(SepSun1+9)=CalendarYear,MONTH(SepSun1+9)=9),SepSun1+9,""),IF(AND(YEAR(SepSun1+16)=CalendarYear,MONTH(SepSun1+16)=9),SepSun1+16,""))</f>
        <v>46279</v>
      </c>
      <c r="S61" s="12">
        <f>IF(DAY(SepSun1)=1,IF(AND(YEAR(SepSun1+10)=CalendarYear,MONTH(SepSun1+10)=9),SepSun1+10,""),IF(AND(YEAR(SepSun1+17)=CalendarYear,MONTH(SepSun1+17)=9),SepSun1+17,""))</f>
        <v>46280</v>
      </c>
      <c r="T61" s="12">
        <f>IF(DAY(SepSun1)=1,IF(AND(YEAR(SepSun1+11)=CalendarYear,MONTH(SepSun1+11)=9),SepSun1+11,""),IF(AND(YEAR(SepSun1+18)=CalendarYear,MONTH(SepSun1+18)=9),SepSun1+18,""))</f>
        <v>46281</v>
      </c>
      <c r="U61" s="12">
        <f>IF(DAY(SepSun1)=1,IF(AND(YEAR(SepSun1+12)=CalendarYear,MONTH(SepSun1+12)=9),SepSun1+12,""),IF(AND(YEAR(SepSun1+19)=CalendarYear,MONTH(SepSun1+19)=9),SepSun1+19,""))</f>
        <v>46282</v>
      </c>
      <c r="V61" s="12">
        <f>IF(DAY(SepSun1)=1,IF(AND(YEAR(SepSun1+13)=CalendarYear,MONTH(SepSun1+13)=9),SepSun1+13,""),IF(AND(YEAR(SepSun1+20)=CalendarYear,MONTH(SepSun1+20)=9),SepSun1+20,""))</f>
        <v>46283</v>
      </c>
      <c r="W61" s="12">
        <f>IF(DAY(SepSun1)=1,IF(AND(YEAR(SepSun1+14)=CalendarYear,MONTH(SepSun1+14)=9),SepSun1+14,""),IF(AND(YEAR(SepSun1+21)=CalendarYear,MONTH(SepSun1+21)=9),SepSun1+21,""))</f>
        <v>46284</v>
      </c>
      <c r="X61" s="12">
        <f>IF(DAY(SepSun1)=1,IF(AND(YEAR(SepSun1+15)=CalendarYear,MONTH(SepSun1+15)=9),SepSun1+15,""),IF(AND(YEAR(SepSun1+22)=CalendarYear,MONTH(SepSun1+22)=9),SepSun1+22,""))</f>
        <v>46285</v>
      </c>
      <c r="Y61" s="12">
        <f>IF(DAY(SepSun1)=1,IF(AND(YEAR(SepSun1+16)=CalendarYear,MONTH(SepSun1+16)=9),SepSun1+16,""),IF(AND(YEAR(SepSun1+23)=CalendarYear,MONTH(SepSun1+23)=9),SepSun1+23,""))</f>
        <v>46286</v>
      </c>
      <c r="Z61" s="12">
        <f>IF(DAY(SepSun1)=1,IF(AND(YEAR(SepSun1+17)=CalendarYear,MONTH(SepSun1+17)=9),SepSun1+17,""),IF(AND(YEAR(SepSun1+24)=CalendarYear,MONTH(SepSun1+24)=9),SepSun1+24,""))</f>
        <v>46287</v>
      </c>
      <c r="AA61" s="12">
        <f>IF(DAY(SepSun1)=1,IF(AND(YEAR(SepSun1+18)=CalendarYear,MONTH(SepSun1+18)=9),SepSun1+18,""),IF(AND(YEAR(SepSun1+25)=CalendarYear,MONTH(SepSun1+25)=9),SepSun1+25,""))</f>
        <v>46288</v>
      </c>
      <c r="AB61" s="12">
        <f>IF(DAY(SepSun1)=1,IF(AND(YEAR(SepSun1+19)=CalendarYear,MONTH(SepSun1+19)=9),SepSun1+19,""),IF(AND(YEAR(SepSun1+26)=CalendarYear,MONTH(SepSun1+26)=9),SepSun1+26,""))</f>
        <v>46289</v>
      </c>
      <c r="AC61" s="12">
        <f>IF(DAY(SepSun1)=1,IF(AND(YEAR(SepSun1+20)=CalendarYear,MONTH(SepSun1+20)=9),SepSun1+20,""),IF(AND(YEAR(SepSun1+27)=CalendarYear,MONTH(SepSun1+27)=9),SepSun1+27,""))</f>
        <v>46290</v>
      </c>
      <c r="AD61" s="12">
        <f>IF(DAY(SepSun1)=1,IF(AND(YEAR(SepSun1+21)=CalendarYear,MONTH(SepSun1+21)=9),SepSun1+21,""),IF(AND(YEAR(SepSun1+28)=CalendarYear,MONTH(SepSun1+28)=9),SepSun1+28,""))</f>
        <v>46291</v>
      </c>
      <c r="AE61" s="12">
        <f>IF(DAY(SepSun1)=1,IF(AND(YEAR(SepSun1+22)=CalendarYear,MONTH(SepSun1+22)=9),SepSun1+22,""),IF(AND(YEAR(SepSun1+29)=CalendarYear,MONTH(SepSun1+29)=9),SepSun1+29,""))</f>
        <v>46292</v>
      </c>
      <c r="AF61" s="12">
        <f>IF(DAY(SepSun1)=1,IF(AND(YEAR(SepSun1+23)=CalendarYear,MONTH(SepSun1+23)=9),SepSun1+23,""),IF(AND(YEAR(SepSun1+30)=CalendarYear,MONTH(SepSun1+30)=9),SepSun1+30,""))</f>
        <v>46293</v>
      </c>
      <c r="AG61" s="12">
        <f>IF(DAY(SepSun1)=1,IF(AND(YEAR(SepSun1+24)=CalendarYear,MONTH(SepSun1+24)=9),SepSun1+24,""),IF(AND(YEAR(SepSun1+31)=CalendarYear,MONTH(SepSun1+31)=9),SepSun1+31,""))</f>
        <v>46294</v>
      </c>
      <c r="AH61" s="12">
        <f>IF(DAY(SepSun1)=1,IF(AND(YEAR(SepSun1+25)=CalendarYear,MONTH(SepSun1+25)=9),SepSun1+25,""),IF(AND(YEAR(SepSun1+32)=CalendarYear,MONTH(SepSun1+32)=9),SepSun1+32,""))</f>
        <v>46295</v>
      </c>
      <c r="AI61" s="12" t="str">
        <f>IF(DAY(SepSun1)=1,IF(AND(YEAR(SepSun1+26)=CalendarYear,MONTH(SepSun1+26)=9),SepSun1+26,""),IF(AND(YEAR(SepSun1+33)=CalendarYear,MONTH(SepSun1+33)=9),SepSun1+33,""))</f>
        <v/>
      </c>
      <c r="AJ61" s="12" t="str">
        <f>IF(DAY(SepSun1)=1,IF(AND(YEAR(SepSun1+27)=CalendarYear,MONTH(SepSun1+27)=9),SepSun1+27,""),IF(AND(YEAR(SepSun1+34)=CalendarYear,MONTH(SepSun1+34)=9),SepSun1+34,""))</f>
        <v/>
      </c>
      <c r="AK61" s="12" t="str">
        <f>IF(DAY(SepSun1)=1,IF(AND(YEAR(SepSun1+28)=CalendarYear,MONTH(SepSun1+28)=9),SepSun1+28,""),IF(AND(YEAR(SepSun1+35)=CalendarYear,MONTH(SepSun1+35)=9),SepSun1+35,""))</f>
        <v/>
      </c>
      <c r="AL61" s="12" t="str">
        <f>IF(DAY(SepSun1)=1,IF(AND(YEAR(SepSun1+29)=CalendarYear,MONTH(SepSun1+29)=9),SepSun1+29,""),IF(AND(YEAR(SepSun1+36)=CalendarYear,MONTH(SepSun1+36)=9),SepSun1+36,""))</f>
        <v/>
      </c>
      <c r="AM61" s="13" t="str">
        <f>IF(DAY(SepSun1)=1,IF(AND(YEAR(SepSun1+30)=CalendarYear,MONTH(SepSun1+30)=9),SepSun1+30,""),IF(AND(YEAR(SepSun1+37)=CalendarYear,MONTH(SepSun1+37)=9),SepSun1+37,""))</f>
        <v/>
      </c>
    </row>
    <row r="62" spans="2:39" s="10" customFormat="1" ht="19.05" customHeight="1" x14ac:dyDescent="0.35">
      <c r="B62" s="66"/>
      <c r="C62" s="11" t="s">
        <v>0</v>
      </c>
      <c r="D62" s="11" t="s">
        <v>1</v>
      </c>
      <c r="E62" s="11" t="s">
        <v>2</v>
      </c>
      <c r="F62" s="11" t="s">
        <v>3</v>
      </c>
      <c r="G62" s="11" t="s">
        <v>4</v>
      </c>
      <c r="H62" s="11" t="s">
        <v>5</v>
      </c>
      <c r="I62" s="11" t="s">
        <v>6</v>
      </c>
      <c r="J62" s="11" t="s">
        <v>0</v>
      </c>
      <c r="K62" s="11" t="s">
        <v>1</v>
      </c>
      <c r="L62" s="11" t="s">
        <v>2</v>
      </c>
      <c r="M62" s="11" t="s">
        <v>3</v>
      </c>
      <c r="N62" s="11" t="s">
        <v>4</v>
      </c>
      <c r="O62" s="11" t="s">
        <v>5</v>
      </c>
      <c r="P62" s="11" t="s">
        <v>6</v>
      </c>
      <c r="Q62" s="11" t="s">
        <v>0</v>
      </c>
      <c r="R62" s="11" t="s">
        <v>1</v>
      </c>
      <c r="S62" s="11" t="s">
        <v>2</v>
      </c>
      <c r="T62" s="11" t="s">
        <v>3</v>
      </c>
      <c r="U62" s="11" t="s">
        <v>4</v>
      </c>
      <c r="V62" s="11" t="s">
        <v>5</v>
      </c>
      <c r="W62" s="11" t="s">
        <v>6</v>
      </c>
      <c r="X62" s="11" t="s">
        <v>0</v>
      </c>
      <c r="Y62" s="11" t="s">
        <v>1</v>
      </c>
      <c r="Z62" s="11" t="s">
        <v>2</v>
      </c>
      <c r="AA62" s="11" t="s">
        <v>3</v>
      </c>
      <c r="AB62" s="11" t="s">
        <v>4</v>
      </c>
      <c r="AC62" s="11" t="s">
        <v>5</v>
      </c>
      <c r="AD62" s="11" t="s">
        <v>6</v>
      </c>
      <c r="AE62" s="11" t="s">
        <v>0</v>
      </c>
      <c r="AF62" s="11" t="s">
        <v>1</v>
      </c>
      <c r="AG62" s="11" t="s">
        <v>2</v>
      </c>
      <c r="AH62" s="11" t="s">
        <v>3</v>
      </c>
      <c r="AI62" s="11" t="s">
        <v>4</v>
      </c>
      <c r="AJ62" s="11" t="s">
        <v>5</v>
      </c>
      <c r="AK62" s="11" t="s">
        <v>6</v>
      </c>
      <c r="AL62" s="11" t="s">
        <v>0</v>
      </c>
      <c r="AM62" s="14" t="s">
        <v>1</v>
      </c>
    </row>
    <row r="63" spans="2:39" ht="19.05" customHeight="1" thickBot="1" x14ac:dyDescent="0.4">
      <c r="B63" s="8" t="s">
        <v>29</v>
      </c>
      <c r="C63" s="16"/>
      <c r="D63" s="16"/>
      <c r="E63" s="28"/>
      <c r="F63" s="99" t="s">
        <v>17</v>
      </c>
      <c r="G63" s="100"/>
      <c r="H63" s="101"/>
      <c r="I63" s="19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90" t="s">
        <v>20</v>
      </c>
      <c r="AG63" s="91"/>
      <c r="AH63" s="92"/>
      <c r="AI63" s="17"/>
      <c r="AJ63" s="16"/>
      <c r="AK63" s="16"/>
      <c r="AL63" s="16"/>
      <c r="AM63" s="16"/>
    </row>
    <row r="64" spans="2:39" ht="19.05" customHeight="1" thickTop="1" thickBot="1" x14ac:dyDescent="0.4">
      <c r="B64" s="47" t="s">
        <v>34</v>
      </c>
      <c r="C64" s="37"/>
      <c r="D64" s="37"/>
      <c r="E64" s="64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8"/>
    </row>
    <row r="65" spans="2:39" ht="19.05" customHeight="1" thickTop="1" thickBot="1" x14ac:dyDescent="0.4">
      <c r="B65" s="9" t="s">
        <v>25</v>
      </c>
      <c r="C65" s="17"/>
      <c r="D65" s="17"/>
      <c r="E65" s="16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22"/>
      <c r="Y65" s="33"/>
      <c r="Z65" s="34"/>
      <c r="AA65" s="35"/>
      <c r="AB65" s="23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2:39" ht="19.05" customHeight="1" x14ac:dyDescent="0.35">
      <c r="B66" s="9" t="s">
        <v>27</v>
      </c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17"/>
      <c r="R66" s="17"/>
      <c r="S66" s="17"/>
      <c r="T66" s="17"/>
      <c r="U66" s="17"/>
      <c r="V66" s="17"/>
      <c r="W66" s="17"/>
      <c r="X66" s="17"/>
      <c r="Y66" s="16"/>
      <c r="Z66" s="16"/>
      <c r="AA66" s="16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2:39" ht="12" customHeight="1" x14ac:dyDescent="0.35"/>
    <row r="68" spans="2:39" s="10" customFormat="1" ht="19.05" customHeight="1" x14ac:dyDescent="0.35">
      <c r="B68" s="65">
        <f>DATE(CalendarYear,10,1)</f>
        <v>46296</v>
      </c>
      <c r="C68" s="12" t="str">
        <f>IF(DAY(OctSun1)=1,"",IF(AND(YEAR(OctSun1+1)=CalendarYear,MONTH(OctSun1+1)=10),OctSun1+1,""))</f>
        <v/>
      </c>
      <c r="D68" s="12" t="str">
        <f>IF(DAY(OctSun1)=1,"",IF(AND(YEAR(OctSun1+2)=CalendarYear,MONTH(OctSun1+2)=10),OctSun1+2,""))</f>
        <v/>
      </c>
      <c r="E68" s="12" t="str">
        <f>IF(DAY(OctSun1)=1,"",IF(AND(YEAR(OctSun1+3)=CalendarYear,MONTH(OctSun1+3)=10),OctSun1+3,""))</f>
        <v/>
      </c>
      <c r="F68" s="12" t="str">
        <f>IF(DAY(OctSun1)=1,"",IF(AND(YEAR(OctSun1+4)=CalendarYear,MONTH(OctSun1+4)=10),OctSun1+4,""))</f>
        <v/>
      </c>
      <c r="G68" s="12">
        <f>IF(DAY(OctSun1)=1,"",IF(AND(YEAR(OctSun1+5)=CalendarYear,MONTH(OctSun1+5)=10),OctSun1+5,""))</f>
        <v>46296</v>
      </c>
      <c r="H68" s="12">
        <f>IF(DAY(OctSun1)=1,"",IF(AND(YEAR(OctSun1+6)=CalendarYear,MONTH(OctSun1+6)=10),OctSun1+6,""))</f>
        <v>46297</v>
      </c>
      <c r="I68" s="12">
        <f>IF(DAY(OctSun1)=1,IF(AND(YEAR(OctSun1)=CalendarYear,MONTH(OctSun1)=10),OctSun1,""),IF(AND(YEAR(OctSun1+7)=CalendarYear,MONTH(OctSun1+7)=10),OctSun1+7,""))</f>
        <v>46298</v>
      </c>
      <c r="J68" s="12">
        <f>IF(DAY(OctSun1)=1,IF(AND(YEAR(OctSun1+1)=CalendarYear,MONTH(OctSun1+1)=10),OctSun1+1,""),IF(AND(YEAR(OctSun1+8)=CalendarYear,MONTH(OctSun1+8)=10),OctSun1+8,""))</f>
        <v>46299</v>
      </c>
      <c r="K68" s="12">
        <f>IF(DAY(OctSun1)=1,IF(AND(YEAR(OctSun1+2)=CalendarYear,MONTH(OctSun1+2)=10),OctSun1+2,""),IF(AND(YEAR(OctSun1+9)=CalendarYear,MONTH(OctSun1+9)=10),OctSun1+9,""))</f>
        <v>46300</v>
      </c>
      <c r="L68" s="12">
        <f>IF(DAY(OctSun1)=1,IF(AND(YEAR(OctSun1+3)=CalendarYear,MONTH(OctSun1+3)=10),OctSun1+3,""),IF(AND(YEAR(OctSun1+10)=CalendarYear,MONTH(OctSun1+10)=10),OctSun1+10,""))</f>
        <v>46301</v>
      </c>
      <c r="M68" s="12">
        <f>IF(DAY(OctSun1)=1,IF(AND(YEAR(OctSun1+4)=CalendarYear,MONTH(OctSun1+4)=10),OctSun1+4,""),IF(AND(YEAR(OctSun1+11)=CalendarYear,MONTH(OctSun1+11)=10),OctSun1+11,""))</f>
        <v>46302</v>
      </c>
      <c r="N68" s="12">
        <f>IF(DAY(OctSun1)=1,IF(AND(YEAR(OctSun1+5)=CalendarYear,MONTH(OctSun1+5)=10),OctSun1+5,""),IF(AND(YEAR(OctSun1+12)=CalendarYear,MONTH(OctSun1+12)=10),OctSun1+12,""))</f>
        <v>46303</v>
      </c>
      <c r="O68" s="12">
        <f>IF(DAY(OctSun1)=1,IF(AND(YEAR(OctSun1+6)=CalendarYear,MONTH(OctSun1+6)=10),OctSun1+6,""),IF(AND(YEAR(OctSun1+13)=CalendarYear,MONTH(OctSun1+13)=10),OctSun1+13,""))</f>
        <v>46304</v>
      </c>
      <c r="P68" s="12">
        <f>IF(DAY(OctSun1)=1,IF(AND(YEAR(OctSun1+7)=CalendarYear,MONTH(OctSun1+7)=10),OctSun1+7,""),IF(AND(YEAR(OctSun1+14)=CalendarYear,MONTH(OctSun1+14)=10),OctSun1+14,""))</f>
        <v>46305</v>
      </c>
      <c r="Q68" s="12">
        <f>IF(DAY(OctSun1)=1,IF(AND(YEAR(OctSun1+8)=CalendarYear,MONTH(OctSun1+8)=10),OctSun1+8,""),IF(AND(YEAR(OctSun1+15)=CalendarYear,MONTH(OctSun1+15)=10),OctSun1+15,""))</f>
        <v>46306</v>
      </c>
      <c r="R68" s="12">
        <f>IF(DAY(OctSun1)=1,IF(AND(YEAR(OctSun1+9)=CalendarYear,MONTH(OctSun1+9)=10),OctSun1+9,""),IF(AND(YEAR(OctSun1+16)=CalendarYear,MONTH(OctSun1+16)=10),OctSun1+16,""))</f>
        <v>46307</v>
      </c>
      <c r="S68" s="12">
        <f>IF(DAY(OctSun1)=1,IF(AND(YEAR(OctSun1+10)=CalendarYear,MONTH(OctSun1+10)=10),OctSun1+10,""),IF(AND(YEAR(OctSun1+17)=CalendarYear,MONTH(OctSun1+17)=10),OctSun1+17,""))</f>
        <v>46308</v>
      </c>
      <c r="T68" s="12">
        <f>IF(DAY(OctSun1)=1,IF(AND(YEAR(OctSun1+11)=CalendarYear,MONTH(OctSun1+11)=10),OctSun1+11,""),IF(AND(YEAR(OctSun1+18)=CalendarYear,MONTH(OctSun1+18)=10),OctSun1+18,""))</f>
        <v>46309</v>
      </c>
      <c r="U68" s="12">
        <f>IF(DAY(OctSun1)=1,IF(AND(YEAR(OctSun1+12)=CalendarYear,MONTH(OctSun1+12)=10),OctSun1+12,""),IF(AND(YEAR(OctSun1+19)=CalendarYear,MONTH(OctSun1+19)=10),OctSun1+19,""))</f>
        <v>46310</v>
      </c>
      <c r="V68" s="12">
        <f>IF(DAY(OctSun1)=1,IF(AND(YEAR(OctSun1+13)=CalendarYear,MONTH(OctSun1+13)=10),OctSun1+13,""),IF(AND(YEAR(OctSun1+20)=CalendarYear,MONTH(OctSun1+20)=10),OctSun1+20,""))</f>
        <v>46311</v>
      </c>
      <c r="W68" s="12">
        <f>IF(DAY(OctSun1)=1,IF(AND(YEAR(OctSun1+14)=CalendarYear,MONTH(OctSun1+14)=10),OctSun1+14,""),IF(AND(YEAR(OctSun1+21)=CalendarYear,MONTH(OctSun1+21)=10),OctSun1+21,""))</f>
        <v>46312</v>
      </c>
      <c r="X68" s="12">
        <f>IF(DAY(OctSun1)=1,IF(AND(YEAR(OctSun1+15)=CalendarYear,MONTH(OctSun1+15)=10),OctSun1+15,""),IF(AND(YEAR(OctSun1+22)=CalendarYear,MONTH(OctSun1+22)=10),OctSun1+22,""))</f>
        <v>46313</v>
      </c>
      <c r="Y68" s="12">
        <f>IF(DAY(OctSun1)=1,IF(AND(YEAR(OctSun1+16)=CalendarYear,MONTH(OctSun1+16)=10),OctSun1+16,""),IF(AND(YEAR(OctSun1+23)=CalendarYear,MONTH(OctSun1+23)=10),OctSun1+23,""))</f>
        <v>46314</v>
      </c>
      <c r="Z68" s="12">
        <f>IF(DAY(OctSun1)=1,IF(AND(YEAR(OctSun1+17)=CalendarYear,MONTH(OctSun1+17)=10),OctSun1+17,""),IF(AND(YEAR(OctSun1+24)=CalendarYear,MONTH(OctSun1+24)=10),OctSun1+24,""))</f>
        <v>46315</v>
      </c>
      <c r="AA68" s="12">
        <f>IF(DAY(OctSun1)=1,IF(AND(YEAR(OctSun1+18)=CalendarYear,MONTH(OctSun1+18)=10),OctSun1+18,""),IF(AND(YEAR(OctSun1+25)=CalendarYear,MONTH(OctSun1+25)=10),OctSun1+25,""))</f>
        <v>46316</v>
      </c>
      <c r="AB68" s="12">
        <f>IF(DAY(OctSun1)=1,IF(AND(YEAR(OctSun1+19)=CalendarYear,MONTH(OctSun1+19)=10),OctSun1+19,""),IF(AND(YEAR(OctSun1+26)=CalendarYear,MONTH(OctSun1+26)=10),OctSun1+26,""))</f>
        <v>46317</v>
      </c>
      <c r="AC68" s="12">
        <f>IF(DAY(OctSun1)=1,IF(AND(YEAR(OctSun1+20)=CalendarYear,MONTH(OctSun1+20)=10),OctSun1+20,""),IF(AND(YEAR(OctSun1+27)=CalendarYear,MONTH(OctSun1+27)=10),OctSun1+27,""))</f>
        <v>46318</v>
      </c>
      <c r="AD68" s="12">
        <f>IF(DAY(OctSun1)=1,IF(AND(YEAR(OctSun1+21)=CalendarYear,MONTH(OctSun1+21)=10),OctSun1+21,""),IF(AND(YEAR(OctSun1+28)=CalendarYear,MONTH(OctSun1+28)=10),OctSun1+28,""))</f>
        <v>46319</v>
      </c>
      <c r="AE68" s="12">
        <f>IF(DAY(OctSun1)=1,IF(AND(YEAR(OctSun1+22)=CalendarYear,MONTH(OctSun1+22)=10),OctSun1+22,""),IF(AND(YEAR(OctSun1+29)=CalendarYear,MONTH(OctSun1+29)=10),OctSun1+29,""))</f>
        <v>46320</v>
      </c>
      <c r="AF68" s="12">
        <f>IF(DAY(OctSun1)=1,IF(AND(YEAR(OctSun1+23)=CalendarYear,MONTH(OctSun1+23)=10),OctSun1+23,""),IF(AND(YEAR(OctSun1+30)=CalendarYear,MONTH(OctSun1+30)=10),OctSun1+30,""))</f>
        <v>46321</v>
      </c>
      <c r="AG68" s="12">
        <f>IF(DAY(OctSun1)=1,IF(AND(YEAR(OctSun1+24)=CalendarYear,MONTH(OctSun1+24)=10),OctSun1+24,""),IF(AND(YEAR(OctSun1+31)=CalendarYear,MONTH(OctSun1+31)=10),OctSun1+31,""))</f>
        <v>46322</v>
      </c>
      <c r="AH68" s="12">
        <f>IF(DAY(OctSun1)=1,IF(AND(YEAR(OctSun1+25)=CalendarYear,MONTH(OctSun1+25)=10),OctSun1+25,""),IF(AND(YEAR(OctSun1+32)=CalendarYear,MONTH(OctSun1+32)=10),OctSun1+32,""))</f>
        <v>46323</v>
      </c>
      <c r="AI68" s="12">
        <f>IF(DAY(OctSun1)=1,IF(AND(YEAR(OctSun1+26)=CalendarYear,MONTH(OctSun1+26)=10),OctSun1+26,""),IF(AND(YEAR(OctSun1+33)=CalendarYear,MONTH(OctSun1+33)=10),OctSun1+33,""))</f>
        <v>46324</v>
      </c>
      <c r="AJ68" s="12">
        <f>IF(DAY(OctSun1)=1,IF(AND(YEAR(OctSun1+27)=CalendarYear,MONTH(OctSun1+27)=10),OctSun1+27,""),IF(AND(YEAR(OctSun1+34)=CalendarYear,MONTH(OctSun1+34)=10),OctSun1+34,""))</f>
        <v>46325</v>
      </c>
      <c r="AK68" s="12">
        <f>IF(DAY(OctSun1)=1,IF(AND(YEAR(OctSun1+28)=CalendarYear,MONTH(OctSun1+28)=10),OctSun1+28,""),IF(AND(YEAR(OctSun1+35)=CalendarYear,MONTH(OctSun1+35)=10),OctSun1+35,""))</f>
        <v>46326</v>
      </c>
      <c r="AL68" s="12" t="str">
        <f>IF(DAY(OctSun1)=1,IF(AND(YEAR(OctSun1+29)=CalendarYear,MONTH(OctSun1+29)=10),OctSun1+29,""),IF(AND(YEAR(OctSun1+36)=CalendarYear,MONTH(OctSun1+36)=10),OctSun1+36,""))</f>
        <v/>
      </c>
      <c r="AM68" s="13" t="str">
        <f>IF(DAY(OctSun1)=1,IF(AND(YEAR(OctSun1+30)=CalendarYear,MONTH(OctSun1+30)=10),OctSun1+30,""),IF(AND(YEAR(OctSun1+37)=CalendarYear,MONTH(OctSun1+37)=10),OctSun1+37,""))</f>
        <v/>
      </c>
    </row>
    <row r="69" spans="2:39" s="10" customFormat="1" ht="19.05" customHeight="1" x14ac:dyDescent="0.35">
      <c r="B69" s="66"/>
      <c r="C69" s="11" t="s">
        <v>0</v>
      </c>
      <c r="D69" s="11" t="s">
        <v>1</v>
      </c>
      <c r="E69" s="11" t="s">
        <v>2</v>
      </c>
      <c r="F69" s="11" t="s">
        <v>3</v>
      </c>
      <c r="G69" s="11" t="s">
        <v>4</v>
      </c>
      <c r="H69" s="11" t="s">
        <v>5</v>
      </c>
      <c r="I69" s="11" t="s">
        <v>6</v>
      </c>
      <c r="J69" s="11" t="s">
        <v>0</v>
      </c>
      <c r="K69" s="11" t="s">
        <v>1</v>
      </c>
      <c r="L69" s="11" t="s">
        <v>2</v>
      </c>
      <c r="M69" s="11" t="s">
        <v>3</v>
      </c>
      <c r="N69" s="11" t="s">
        <v>4</v>
      </c>
      <c r="O69" s="11" t="s">
        <v>5</v>
      </c>
      <c r="P69" s="11" t="s">
        <v>6</v>
      </c>
      <c r="Q69" s="11" t="s">
        <v>0</v>
      </c>
      <c r="R69" s="11" t="s">
        <v>1</v>
      </c>
      <c r="S69" s="11" t="s">
        <v>2</v>
      </c>
      <c r="T69" s="11" t="s">
        <v>3</v>
      </c>
      <c r="U69" s="11" t="s">
        <v>4</v>
      </c>
      <c r="V69" s="11" t="s">
        <v>5</v>
      </c>
      <c r="W69" s="11" t="s">
        <v>6</v>
      </c>
      <c r="X69" s="11" t="s">
        <v>0</v>
      </c>
      <c r="Y69" s="11" t="s">
        <v>1</v>
      </c>
      <c r="Z69" s="11" t="s">
        <v>2</v>
      </c>
      <c r="AA69" s="11" t="s">
        <v>3</v>
      </c>
      <c r="AB69" s="11" t="s">
        <v>4</v>
      </c>
      <c r="AC69" s="11" t="s">
        <v>5</v>
      </c>
      <c r="AD69" s="11" t="s">
        <v>6</v>
      </c>
      <c r="AE69" s="11" t="s">
        <v>0</v>
      </c>
      <c r="AF69" s="11" t="s">
        <v>1</v>
      </c>
      <c r="AG69" s="11" t="s">
        <v>2</v>
      </c>
      <c r="AH69" s="11" t="s">
        <v>3</v>
      </c>
      <c r="AI69" s="11" t="s">
        <v>4</v>
      </c>
      <c r="AJ69" s="11" t="s">
        <v>5</v>
      </c>
      <c r="AK69" s="11" t="s">
        <v>6</v>
      </c>
      <c r="AL69" s="11" t="s">
        <v>0</v>
      </c>
      <c r="AM69" s="14" t="s">
        <v>1</v>
      </c>
    </row>
    <row r="70" spans="2:39" ht="19.05" customHeight="1" thickBot="1" x14ac:dyDescent="0.4">
      <c r="B70" s="36" t="s">
        <v>29</v>
      </c>
      <c r="C70" s="28"/>
      <c r="D70" s="28"/>
      <c r="E70" s="45"/>
      <c r="F70" s="45"/>
      <c r="G70" s="88" t="s">
        <v>19</v>
      </c>
      <c r="H70" s="89"/>
      <c r="I70" s="48"/>
      <c r="J70" s="49"/>
      <c r="K70" s="70" t="s">
        <v>18</v>
      </c>
      <c r="L70" s="70"/>
      <c r="M70" s="70"/>
      <c r="N70" s="70"/>
      <c r="O70" s="70"/>
      <c r="P70" s="49"/>
      <c r="Q70" s="49"/>
      <c r="R70" s="49"/>
      <c r="S70" s="49"/>
      <c r="T70" s="74" t="s">
        <v>21</v>
      </c>
      <c r="U70" s="75"/>
      <c r="V70" s="76"/>
      <c r="W70" s="50"/>
      <c r="X70" s="49"/>
      <c r="Y70" s="49"/>
      <c r="Z70" s="49"/>
      <c r="AA70" s="49"/>
      <c r="AB70" s="49"/>
      <c r="AC70" s="49"/>
      <c r="AD70" s="49"/>
      <c r="AE70" s="49"/>
      <c r="AF70" s="49"/>
      <c r="AG70" s="93" t="s">
        <v>22</v>
      </c>
      <c r="AH70" s="94" t="e">
        <f t="shared" ref="AH70:AJ70" si="4">IF(OR(NOT(ISNUMBER(AH68)),AH68&lt;Job1_StartDate),"",IF(MID(Job1_Pattern,MOD(AH68-Job1_StartDate,LEN(Job1_Pattern))+1,1)=Job1_Shift1_Code,1,IF(MID(Job1_Pattern,MOD(AH68-Job1_StartDate,LEN(Job1_Pattern))+1,1)=Job1_Shift2_Code,2,IF(MID(Job1_Pattern,MOD(AH68-Job1_StartDate,LEN(Job1_Pattern))+1,1)=Job1_Shift3_Code,3,""))))</f>
        <v>#REF!</v>
      </c>
      <c r="AI70" s="94" t="e">
        <f t="shared" si="4"/>
        <v>#REF!</v>
      </c>
      <c r="AJ70" s="95" t="e">
        <f t="shared" si="4"/>
        <v>#REF!</v>
      </c>
      <c r="AK70" s="28"/>
      <c r="AL70" s="28"/>
      <c r="AM70" s="28"/>
    </row>
    <row r="71" spans="2:39" ht="19.05" customHeight="1" thickTop="1" thickBot="1" x14ac:dyDescent="0.4">
      <c r="B71" s="47" t="s">
        <v>34</v>
      </c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117" t="s">
        <v>31</v>
      </c>
      <c r="Z71" s="118"/>
      <c r="AA71" s="118"/>
      <c r="AB71" s="118"/>
      <c r="AC71" s="119"/>
      <c r="AD71" s="37"/>
      <c r="AE71" s="37"/>
      <c r="AF71" s="37"/>
      <c r="AG71" s="37"/>
      <c r="AH71" s="37"/>
      <c r="AI71" s="37"/>
      <c r="AJ71" s="37"/>
      <c r="AK71" s="37"/>
      <c r="AL71" s="37"/>
      <c r="AM71" s="38"/>
    </row>
    <row r="72" spans="2:39" ht="19.05" customHeight="1" thickTop="1" thickBot="1" x14ac:dyDescent="0.4">
      <c r="B72" s="8" t="s">
        <v>25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8"/>
      <c r="R72" s="44"/>
      <c r="S72" s="19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</row>
    <row r="73" spans="2:39" ht="19.05" customHeight="1" x14ac:dyDescent="0.35">
      <c r="B73" s="9" t="s">
        <v>27</v>
      </c>
      <c r="C73" s="17"/>
      <c r="D73" s="17"/>
      <c r="E73" s="17"/>
      <c r="F73" s="17"/>
      <c r="G73" s="17"/>
      <c r="H73" s="17"/>
      <c r="I73" s="25"/>
      <c r="J73" s="17"/>
      <c r="K73" s="17"/>
      <c r="L73" s="17"/>
      <c r="M73" s="17"/>
      <c r="N73" s="17"/>
      <c r="O73" s="17"/>
      <c r="P73" s="17"/>
      <c r="Q73" s="17"/>
      <c r="R73" s="16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26"/>
      <c r="AG73" s="26"/>
      <c r="AH73" s="26"/>
      <c r="AI73" s="26"/>
      <c r="AJ73" s="26"/>
      <c r="AK73" s="26"/>
      <c r="AL73" s="17"/>
      <c r="AM73" s="17"/>
    </row>
    <row r="74" spans="2:39" ht="12" customHeight="1" x14ac:dyDescent="0.35"/>
    <row r="75" spans="2:39" s="10" customFormat="1" ht="19.05" customHeight="1" x14ac:dyDescent="0.35">
      <c r="B75" s="65">
        <f>DATE(CalendarYear,11,1)</f>
        <v>46327</v>
      </c>
      <c r="C75" s="12">
        <f>IF(DAY(NovSun1)=1,"",IF(AND(YEAR(NovSun1+1)=CalendarYear,MONTH(NovSun1+1)=11),NovSun1+1,""))</f>
        <v>46327</v>
      </c>
      <c r="D75" s="12">
        <f>IF(DAY(NovSun1)=1,"",IF(AND(YEAR(NovSun1+2)=CalendarYear,MONTH(NovSun1+2)=11),NovSun1+2,""))</f>
        <v>46328</v>
      </c>
      <c r="E75" s="12">
        <f>IF(DAY(NovSun1)=1,"",IF(AND(YEAR(NovSun1+3)=CalendarYear,MONTH(NovSun1+3)=11),NovSun1+3,""))</f>
        <v>46329</v>
      </c>
      <c r="F75" s="12">
        <f>IF(DAY(NovSun1)=1,"",IF(AND(YEAR(NovSun1+4)=CalendarYear,MONTH(NovSun1+4)=11),NovSun1+4,""))</f>
        <v>46330</v>
      </c>
      <c r="G75" s="12">
        <f>IF(DAY(NovSun1)=1,"",IF(AND(YEAR(NovSun1+5)=CalendarYear,MONTH(NovSun1+5)=11),NovSun1+5,""))</f>
        <v>46331</v>
      </c>
      <c r="H75" s="12">
        <f>IF(DAY(NovSun1)=1,"",IF(AND(YEAR(NovSun1+6)=CalendarYear,MONTH(NovSun1+6)=11),NovSun1+6,""))</f>
        <v>46332</v>
      </c>
      <c r="I75" s="12">
        <f>IF(DAY(NovSun1)=1,IF(AND(YEAR(NovSun1)=CalendarYear,MONTH(NovSun1)=11),NovSun1,""),IF(AND(YEAR(NovSun1+7)=CalendarYear,MONTH(NovSun1+7)=11),NovSun1+7,""))</f>
        <v>46333</v>
      </c>
      <c r="J75" s="12">
        <f>IF(DAY(NovSun1)=1,IF(AND(YEAR(NovSun1+1)=CalendarYear,MONTH(NovSun1+1)=11),NovSun1+1,""),IF(AND(YEAR(NovSun1+8)=CalendarYear,MONTH(NovSun1+8)=11),NovSun1+8,""))</f>
        <v>46334</v>
      </c>
      <c r="K75" s="12">
        <f>IF(DAY(NovSun1)=1,IF(AND(YEAR(NovSun1+2)=CalendarYear,MONTH(NovSun1+2)=11),NovSun1+2,""),IF(AND(YEAR(NovSun1+9)=CalendarYear,MONTH(NovSun1+9)=11),NovSun1+9,""))</f>
        <v>46335</v>
      </c>
      <c r="L75" s="12">
        <f>IF(DAY(NovSun1)=1,IF(AND(YEAR(NovSun1+3)=CalendarYear,MONTH(NovSun1+3)=11),NovSun1+3,""),IF(AND(YEAR(NovSun1+10)=CalendarYear,MONTH(NovSun1+10)=11),NovSun1+10,""))</f>
        <v>46336</v>
      </c>
      <c r="M75" s="12">
        <f>IF(DAY(NovSun1)=1,IF(AND(YEAR(NovSun1+4)=CalendarYear,MONTH(NovSun1+4)=11),NovSun1+4,""),IF(AND(YEAR(NovSun1+11)=CalendarYear,MONTH(NovSun1+11)=11),NovSun1+11,""))</f>
        <v>46337</v>
      </c>
      <c r="N75" s="12">
        <f>IF(DAY(NovSun1)=1,IF(AND(YEAR(NovSun1+5)=CalendarYear,MONTH(NovSun1+5)=11),NovSun1+5,""),IF(AND(YEAR(NovSun1+12)=CalendarYear,MONTH(NovSun1+12)=11),NovSun1+12,""))</f>
        <v>46338</v>
      </c>
      <c r="O75" s="12">
        <f>IF(DAY(NovSun1)=1,IF(AND(YEAR(NovSun1+6)=CalendarYear,MONTH(NovSun1+6)=11),NovSun1+6,""),IF(AND(YEAR(NovSun1+13)=CalendarYear,MONTH(NovSun1+13)=11),NovSun1+13,""))</f>
        <v>46339</v>
      </c>
      <c r="P75" s="12">
        <f>IF(DAY(NovSun1)=1,IF(AND(YEAR(NovSun1+7)=CalendarYear,MONTH(NovSun1+7)=11),NovSun1+7,""),IF(AND(YEAR(NovSun1+14)=CalendarYear,MONTH(NovSun1+14)=11),NovSun1+14,""))</f>
        <v>46340</v>
      </c>
      <c r="Q75" s="12">
        <f>IF(DAY(NovSun1)=1,IF(AND(YEAR(NovSun1+8)=CalendarYear,MONTH(NovSun1+8)=11),NovSun1+8,""),IF(AND(YEAR(NovSun1+15)=CalendarYear,MONTH(NovSun1+15)=11),NovSun1+15,""))</f>
        <v>46341</v>
      </c>
      <c r="R75" s="12">
        <f>IF(DAY(NovSun1)=1,IF(AND(YEAR(NovSun1+9)=CalendarYear,MONTH(NovSun1+9)=11),NovSun1+9,""),IF(AND(YEAR(NovSun1+16)=CalendarYear,MONTH(NovSun1+16)=11),NovSun1+16,""))</f>
        <v>46342</v>
      </c>
      <c r="S75" s="12">
        <f>IF(DAY(NovSun1)=1,IF(AND(YEAR(NovSun1+10)=CalendarYear,MONTH(NovSun1+10)=11),NovSun1+10,""),IF(AND(YEAR(NovSun1+17)=CalendarYear,MONTH(NovSun1+17)=11),NovSun1+17,""))</f>
        <v>46343</v>
      </c>
      <c r="T75" s="12">
        <f>IF(DAY(NovSun1)=1,IF(AND(YEAR(NovSun1+11)=CalendarYear,MONTH(NovSun1+11)=11),NovSun1+11,""),IF(AND(YEAR(NovSun1+18)=CalendarYear,MONTH(NovSun1+18)=11),NovSun1+18,""))</f>
        <v>46344</v>
      </c>
      <c r="U75" s="12">
        <f>IF(DAY(NovSun1)=1,IF(AND(YEAR(NovSun1+12)=CalendarYear,MONTH(NovSun1+12)=11),NovSun1+12,""),IF(AND(YEAR(NovSun1+19)=CalendarYear,MONTH(NovSun1+19)=11),NovSun1+19,""))</f>
        <v>46345</v>
      </c>
      <c r="V75" s="12">
        <f>IF(DAY(NovSun1)=1,IF(AND(YEAR(NovSun1+13)=CalendarYear,MONTH(NovSun1+13)=11),NovSun1+13,""),IF(AND(YEAR(NovSun1+20)=CalendarYear,MONTH(NovSun1+20)=11),NovSun1+20,""))</f>
        <v>46346</v>
      </c>
      <c r="W75" s="12">
        <f>IF(DAY(NovSun1)=1,IF(AND(YEAR(NovSun1+14)=CalendarYear,MONTH(NovSun1+14)=11),NovSun1+14,""),IF(AND(YEAR(NovSun1+21)=CalendarYear,MONTH(NovSun1+21)=11),NovSun1+21,""))</f>
        <v>46347</v>
      </c>
      <c r="X75" s="12">
        <f>IF(DAY(NovSun1)=1,IF(AND(YEAR(NovSun1+15)=CalendarYear,MONTH(NovSun1+15)=11),NovSun1+15,""),IF(AND(YEAR(NovSun1+22)=CalendarYear,MONTH(NovSun1+22)=11),NovSun1+22,""))</f>
        <v>46348</v>
      </c>
      <c r="Y75" s="12">
        <f>IF(DAY(NovSun1)=1,IF(AND(YEAR(NovSun1+16)=CalendarYear,MONTH(NovSun1+16)=11),NovSun1+16,""),IF(AND(YEAR(NovSun1+23)=CalendarYear,MONTH(NovSun1+23)=11),NovSun1+23,""))</f>
        <v>46349</v>
      </c>
      <c r="Z75" s="12">
        <f>IF(DAY(NovSun1)=1,IF(AND(YEAR(NovSun1+17)=CalendarYear,MONTH(NovSun1+17)=11),NovSun1+17,""),IF(AND(YEAR(NovSun1+24)=CalendarYear,MONTH(NovSun1+24)=11),NovSun1+24,""))</f>
        <v>46350</v>
      </c>
      <c r="AA75" s="12">
        <f>IF(DAY(NovSun1)=1,IF(AND(YEAR(NovSun1+18)=CalendarYear,MONTH(NovSun1+18)=11),NovSun1+18,""),IF(AND(YEAR(NovSun1+25)=CalendarYear,MONTH(NovSun1+25)=11),NovSun1+25,""))</f>
        <v>46351</v>
      </c>
      <c r="AB75" s="12">
        <f>IF(DAY(NovSun1)=1,IF(AND(YEAR(NovSun1+19)=CalendarYear,MONTH(NovSun1+19)=11),NovSun1+19,""),IF(AND(YEAR(NovSun1+26)=CalendarYear,MONTH(NovSun1+26)=11),NovSun1+26,""))</f>
        <v>46352</v>
      </c>
      <c r="AC75" s="12">
        <f>IF(DAY(NovSun1)=1,IF(AND(YEAR(NovSun1+20)=CalendarYear,MONTH(NovSun1+20)=11),NovSun1+20,""),IF(AND(YEAR(NovSun1+27)=CalendarYear,MONTH(NovSun1+27)=11),NovSun1+27,""))</f>
        <v>46353</v>
      </c>
      <c r="AD75" s="12">
        <f>IF(DAY(NovSun1)=1,IF(AND(YEAR(NovSun1+21)=CalendarYear,MONTH(NovSun1+21)=11),NovSun1+21,""),IF(AND(YEAR(NovSun1+28)=CalendarYear,MONTH(NovSun1+28)=11),NovSun1+28,""))</f>
        <v>46354</v>
      </c>
      <c r="AE75" s="12">
        <f>IF(DAY(NovSun1)=1,IF(AND(YEAR(NovSun1+22)=CalendarYear,MONTH(NovSun1+22)=11),NovSun1+22,""),IF(AND(YEAR(NovSun1+29)=CalendarYear,MONTH(NovSun1+29)=11),NovSun1+29,""))</f>
        <v>46355</v>
      </c>
      <c r="AF75" s="12">
        <f>IF(DAY(NovSun1)=1,IF(AND(YEAR(NovSun1+23)=CalendarYear,MONTH(NovSun1+23)=11),NovSun1+23,""),IF(AND(YEAR(NovSun1+30)=CalendarYear,MONTH(NovSun1+30)=11),NovSun1+30,""))</f>
        <v>46356</v>
      </c>
      <c r="AG75" s="12" t="str">
        <f>IF(DAY(NovSun1)=1,IF(AND(YEAR(NovSun1+24)=CalendarYear,MONTH(NovSun1+24)=11),NovSun1+24,""),IF(AND(YEAR(NovSun1+31)=CalendarYear,MONTH(NovSun1+31)=11),NovSun1+31,""))</f>
        <v/>
      </c>
      <c r="AH75" s="12" t="str">
        <f>IF(DAY(NovSun1)=1,IF(AND(YEAR(NovSun1+25)=CalendarYear,MONTH(NovSun1+25)=11),NovSun1+25,""),IF(AND(YEAR(NovSun1+32)=CalendarYear,MONTH(NovSun1+32)=11),NovSun1+32,""))</f>
        <v/>
      </c>
      <c r="AI75" s="12" t="str">
        <f>IF(DAY(NovSun1)=1,IF(AND(YEAR(NovSun1+26)=CalendarYear,MONTH(NovSun1+26)=11),NovSun1+26,""),IF(AND(YEAR(NovSun1+33)=CalendarYear,MONTH(NovSun1+33)=11),NovSun1+33,""))</f>
        <v/>
      </c>
      <c r="AJ75" s="12" t="str">
        <f>IF(DAY(NovSun1)=1,IF(AND(YEAR(NovSun1+27)=CalendarYear,MONTH(NovSun1+27)=11),NovSun1+27,""),IF(AND(YEAR(NovSun1+34)=CalendarYear,MONTH(NovSun1+34)=11),NovSun1+34,""))</f>
        <v/>
      </c>
      <c r="AK75" s="12" t="str">
        <f>IF(DAY(NovSun1)=1,IF(AND(YEAR(NovSun1+28)=CalendarYear,MONTH(NovSun1+28)=11),NovSun1+28,""),IF(AND(YEAR(NovSun1+35)=CalendarYear,MONTH(NovSun1+35)=11),NovSun1+35,""))</f>
        <v/>
      </c>
      <c r="AL75" s="12" t="str">
        <f>IF(DAY(NovSun1)=1,IF(AND(YEAR(NovSun1+29)=CalendarYear,MONTH(NovSun1+29)=11),NovSun1+29,""),IF(AND(YEAR(NovSun1+36)=CalendarYear,MONTH(NovSun1+36)=11),NovSun1+36,""))</f>
        <v/>
      </c>
      <c r="AM75" s="13" t="str">
        <f>IF(DAY(NovSun1)=1,IF(AND(YEAR(NovSun1+30)=CalendarYear,MONTH(NovSun1+30)=11),NovSun1+30,""),IF(AND(YEAR(NovSun1+37)=CalendarYear,MONTH(NovSun1+37)=11),NovSun1+37,""))</f>
        <v/>
      </c>
    </row>
    <row r="76" spans="2:39" s="10" customFormat="1" ht="19.05" customHeight="1" x14ac:dyDescent="0.35">
      <c r="B76" s="66"/>
      <c r="C76" s="11" t="s">
        <v>0</v>
      </c>
      <c r="D76" s="11" t="s">
        <v>1</v>
      </c>
      <c r="E76" s="11" t="s">
        <v>2</v>
      </c>
      <c r="F76" s="11" t="s">
        <v>3</v>
      </c>
      <c r="G76" s="11" t="s">
        <v>4</v>
      </c>
      <c r="H76" s="11" t="s">
        <v>5</v>
      </c>
      <c r="I76" s="11" t="s">
        <v>6</v>
      </c>
      <c r="J76" s="11" t="s">
        <v>0</v>
      </c>
      <c r="K76" s="11" t="s">
        <v>1</v>
      </c>
      <c r="L76" s="11" t="s">
        <v>2</v>
      </c>
      <c r="M76" s="11" t="s">
        <v>3</v>
      </c>
      <c r="N76" s="11" t="s">
        <v>4</v>
      </c>
      <c r="O76" s="11" t="s">
        <v>5</v>
      </c>
      <c r="P76" s="11" t="s">
        <v>6</v>
      </c>
      <c r="Q76" s="11" t="s">
        <v>0</v>
      </c>
      <c r="R76" s="11" t="s">
        <v>1</v>
      </c>
      <c r="S76" s="11" t="s">
        <v>2</v>
      </c>
      <c r="T76" s="11" t="s">
        <v>3</v>
      </c>
      <c r="U76" s="11" t="s">
        <v>4</v>
      </c>
      <c r="V76" s="11" t="s">
        <v>5</v>
      </c>
      <c r="W76" s="11" t="s">
        <v>6</v>
      </c>
      <c r="X76" s="11" t="s">
        <v>0</v>
      </c>
      <c r="Y76" s="11" t="s">
        <v>1</v>
      </c>
      <c r="Z76" s="11" t="s">
        <v>2</v>
      </c>
      <c r="AA76" s="11" t="s">
        <v>3</v>
      </c>
      <c r="AB76" s="11" t="s">
        <v>4</v>
      </c>
      <c r="AC76" s="11" t="s">
        <v>5</v>
      </c>
      <c r="AD76" s="11" t="s">
        <v>6</v>
      </c>
      <c r="AE76" s="11" t="s">
        <v>0</v>
      </c>
      <c r="AF76" s="11" t="s">
        <v>1</v>
      </c>
      <c r="AG76" s="11" t="s">
        <v>2</v>
      </c>
      <c r="AH76" s="11" t="s">
        <v>3</v>
      </c>
      <c r="AI76" s="11" t="s">
        <v>4</v>
      </c>
      <c r="AJ76" s="11" t="s">
        <v>5</v>
      </c>
      <c r="AK76" s="11" t="s">
        <v>6</v>
      </c>
      <c r="AL76" s="11" t="s">
        <v>0</v>
      </c>
      <c r="AM76" s="14" t="s">
        <v>1</v>
      </c>
    </row>
    <row r="77" spans="2:39" ht="19.05" customHeight="1" thickBot="1" x14ac:dyDescent="0.4">
      <c r="B77" s="8" t="s">
        <v>29</v>
      </c>
      <c r="C77" s="16"/>
      <c r="D77" s="16"/>
      <c r="E77" s="28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51" t="s">
        <v>10</v>
      </c>
      <c r="S77" s="120" t="s">
        <v>11</v>
      </c>
      <c r="T77" s="121" t="e">
        <f t="shared" ref="T77:V77" si="5">IF(OR(NOT(ISNUMBER(T75)),T75&lt;Job1_StartDate),"",IF(MID(Job1_Pattern,MOD(T75-Job1_StartDate,LEN(Job1_Pattern))+1,1)=Job1_Shift1_Code,1,IF(MID(Job1_Pattern,MOD(T75-Job1_StartDate,LEN(Job1_Pattern))+1,1)=Job1_Shift2_Code,2,IF(MID(Job1_Pattern,MOD(T75-Job1_StartDate,LEN(Job1_Pattern))+1,1)=Job1_Shift3_Code,3,""))))</f>
        <v>#REF!</v>
      </c>
      <c r="U77" s="121" t="e">
        <f t="shared" si="5"/>
        <v>#REF!</v>
      </c>
      <c r="V77" s="122" t="e">
        <f t="shared" si="5"/>
        <v>#REF!</v>
      </c>
      <c r="W77" s="16"/>
      <c r="X77" s="16"/>
      <c r="Y77" s="28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</row>
    <row r="78" spans="2:39" ht="19.05" customHeight="1" thickTop="1" thickBot="1" x14ac:dyDescent="0.4">
      <c r="B78" s="46" t="s">
        <v>28</v>
      </c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8"/>
    </row>
    <row r="79" spans="2:39" ht="19.05" customHeight="1" thickTop="1" thickBot="1" x14ac:dyDescent="0.4">
      <c r="B79" s="9" t="s">
        <v>25</v>
      </c>
      <c r="C79" s="17"/>
      <c r="D79" s="22"/>
      <c r="E79" s="32"/>
      <c r="F79" s="23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22"/>
      <c r="Y79" s="32"/>
      <c r="Z79" s="23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2:39" ht="19.05" customHeight="1" x14ac:dyDescent="0.35">
      <c r="B80" s="9" t="s">
        <v>27</v>
      </c>
      <c r="C80" s="17"/>
      <c r="D80" s="26"/>
      <c r="E80" s="29"/>
      <c r="F80" s="26"/>
      <c r="G80" s="26"/>
      <c r="H80" s="26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6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2:39" ht="12" customHeight="1" x14ac:dyDescent="0.35"/>
    <row r="82" spans="2:39" s="10" customFormat="1" ht="19.05" customHeight="1" x14ac:dyDescent="0.35">
      <c r="B82" s="65">
        <f>DATE(CalendarYear,12,1)</f>
        <v>46357</v>
      </c>
      <c r="C82" s="12" t="str">
        <f>IF(DAY(DecSun1)=1,"",IF(AND(YEAR(DecSun1+1)=CalendarYear,MONTH(DecSun1+1)=12),DecSun1+1,""))</f>
        <v/>
      </c>
      <c r="D82" s="12" t="str">
        <f>IF(DAY(DecSun1)=1,"",IF(AND(YEAR(DecSun1+2)=CalendarYear,MONTH(DecSun1+2)=12),DecSun1+2,""))</f>
        <v/>
      </c>
      <c r="E82" s="12">
        <f>IF(DAY(DecSun1)=1,"",IF(AND(YEAR(DecSun1+3)=CalendarYear,MONTH(DecSun1+3)=12),DecSun1+3,""))</f>
        <v>46357</v>
      </c>
      <c r="F82" s="12">
        <f>IF(DAY(DecSun1)=1,"",IF(AND(YEAR(DecSun1+4)=CalendarYear,MONTH(DecSun1+4)=12),DecSun1+4,""))</f>
        <v>46358</v>
      </c>
      <c r="G82" s="12">
        <f>IF(DAY(DecSun1)=1,"",IF(AND(YEAR(DecSun1+5)=CalendarYear,MONTH(DecSun1+5)=12),DecSun1+5,""))</f>
        <v>46359</v>
      </c>
      <c r="H82" s="12">
        <f>IF(DAY(DecSun1)=1,"",IF(AND(YEAR(DecSun1+6)=CalendarYear,MONTH(DecSun1+6)=12),DecSun1+6,""))</f>
        <v>46360</v>
      </c>
      <c r="I82" s="12">
        <f>IF(DAY(DecSun1)=1,IF(AND(YEAR(DecSun1)=CalendarYear,MONTH(DecSun1)=12),DecSun1,""),IF(AND(YEAR(DecSun1+7)=CalendarYear,MONTH(DecSun1+7)=12),DecSun1+7,""))</f>
        <v>46361</v>
      </c>
      <c r="J82" s="12">
        <f>IF(DAY(DecSun1)=1,IF(AND(YEAR(DecSun1+1)=CalendarYear,MONTH(DecSun1+1)=12),DecSun1+1,""),IF(AND(YEAR(DecSun1+8)=CalendarYear,MONTH(DecSun1+8)=12),DecSun1+8,""))</f>
        <v>46362</v>
      </c>
      <c r="K82" s="12">
        <f>IF(DAY(DecSun1)=1,IF(AND(YEAR(DecSun1+2)=CalendarYear,MONTH(DecSun1+2)=12),DecSun1+2,""),IF(AND(YEAR(DecSun1+9)=CalendarYear,MONTH(DecSun1+9)=12),DecSun1+9,""))</f>
        <v>46363</v>
      </c>
      <c r="L82" s="12">
        <f>IF(DAY(DecSun1)=1,IF(AND(YEAR(DecSun1+3)=CalendarYear,MONTH(DecSun1+3)=12),DecSun1+3,""),IF(AND(YEAR(DecSun1+10)=CalendarYear,MONTH(DecSun1+10)=12),DecSun1+10,""))</f>
        <v>46364</v>
      </c>
      <c r="M82" s="12">
        <f>IF(DAY(DecSun1)=1,IF(AND(YEAR(DecSun1+4)=CalendarYear,MONTH(DecSun1+4)=12),DecSun1+4,""),IF(AND(YEAR(DecSun1+11)=CalendarYear,MONTH(DecSun1+11)=12),DecSun1+11,""))</f>
        <v>46365</v>
      </c>
      <c r="N82" s="12">
        <f>IF(DAY(DecSun1)=1,IF(AND(YEAR(DecSun1+5)=CalendarYear,MONTH(DecSun1+5)=12),DecSun1+5,""),IF(AND(YEAR(DecSun1+12)=CalendarYear,MONTH(DecSun1+12)=12),DecSun1+12,""))</f>
        <v>46366</v>
      </c>
      <c r="O82" s="12">
        <f>IF(DAY(DecSun1)=1,IF(AND(YEAR(DecSun1+6)=CalendarYear,MONTH(DecSun1+6)=12),DecSun1+6,""),IF(AND(YEAR(DecSun1+13)=CalendarYear,MONTH(DecSun1+13)=12),DecSun1+13,""))</f>
        <v>46367</v>
      </c>
      <c r="P82" s="12">
        <f>IF(DAY(DecSun1)=1,IF(AND(YEAR(DecSun1+7)=CalendarYear,MONTH(DecSun1+7)=12),DecSun1+7,""),IF(AND(YEAR(DecSun1+14)=CalendarYear,MONTH(DecSun1+14)=12),DecSun1+14,""))</f>
        <v>46368</v>
      </c>
      <c r="Q82" s="12">
        <f>IF(DAY(DecSun1)=1,IF(AND(YEAR(DecSun1+8)=CalendarYear,MONTH(DecSun1+8)=12),DecSun1+8,""),IF(AND(YEAR(DecSun1+15)=CalendarYear,MONTH(DecSun1+15)=12),DecSun1+15,""))</f>
        <v>46369</v>
      </c>
      <c r="R82" s="12">
        <f>IF(DAY(DecSun1)=1,IF(AND(YEAR(DecSun1+9)=CalendarYear,MONTH(DecSun1+9)=12),DecSun1+9,""),IF(AND(YEAR(DecSun1+16)=CalendarYear,MONTH(DecSun1+16)=12),DecSun1+16,""))</f>
        <v>46370</v>
      </c>
      <c r="S82" s="12">
        <f>IF(DAY(DecSun1)=1,IF(AND(YEAR(DecSun1+10)=CalendarYear,MONTH(DecSun1+10)=12),DecSun1+10,""),IF(AND(YEAR(DecSun1+17)=CalendarYear,MONTH(DecSun1+17)=12),DecSun1+17,""))</f>
        <v>46371</v>
      </c>
      <c r="T82" s="12">
        <f>IF(DAY(DecSun1)=1,IF(AND(YEAR(DecSun1+11)=CalendarYear,MONTH(DecSun1+11)=12),DecSun1+11,""),IF(AND(YEAR(DecSun1+18)=CalendarYear,MONTH(DecSun1+18)=12),DecSun1+18,""))</f>
        <v>46372</v>
      </c>
      <c r="U82" s="12">
        <f>IF(DAY(DecSun1)=1,IF(AND(YEAR(DecSun1+12)=CalendarYear,MONTH(DecSun1+12)=12),DecSun1+12,""),IF(AND(YEAR(DecSun1+19)=CalendarYear,MONTH(DecSun1+19)=12),DecSun1+19,""))</f>
        <v>46373</v>
      </c>
      <c r="V82" s="12">
        <f>IF(DAY(DecSun1)=1,IF(AND(YEAR(DecSun1+13)=CalendarYear,MONTH(DecSun1+13)=12),DecSun1+13,""),IF(AND(YEAR(DecSun1+20)=CalendarYear,MONTH(DecSun1+20)=12),DecSun1+20,""))</f>
        <v>46374</v>
      </c>
      <c r="W82" s="12">
        <f>IF(DAY(DecSun1)=1,IF(AND(YEAR(DecSun1+14)=CalendarYear,MONTH(DecSun1+14)=12),DecSun1+14,""),IF(AND(YEAR(DecSun1+21)=CalendarYear,MONTH(DecSun1+21)=12),DecSun1+21,""))</f>
        <v>46375</v>
      </c>
      <c r="X82" s="12">
        <f>IF(DAY(DecSun1)=1,IF(AND(YEAR(DecSun1+15)=CalendarYear,MONTH(DecSun1+15)=12),DecSun1+15,""),IF(AND(YEAR(DecSun1+22)=CalendarYear,MONTH(DecSun1+22)=12),DecSun1+22,""))</f>
        <v>46376</v>
      </c>
      <c r="Y82" s="12">
        <f>IF(DAY(DecSun1)=1,IF(AND(YEAR(DecSun1+16)=CalendarYear,MONTH(DecSun1+16)=12),DecSun1+16,""),IF(AND(YEAR(DecSun1+23)=CalendarYear,MONTH(DecSun1+23)=12),DecSun1+23,""))</f>
        <v>46377</v>
      </c>
      <c r="Z82" s="12">
        <f>IF(DAY(DecSun1)=1,IF(AND(YEAR(DecSun1+17)=CalendarYear,MONTH(DecSun1+17)=12),DecSun1+17,""),IF(AND(YEAR(DecSun1+24)=CalendarYear,MONTH(DecSun1+24)=12),DecSun1+24,""))</f>
        <v>46378</v>
      </c>
      <c r="AA82" s="12">
        <f>IF(DAY(DecSun1)=1,IF(AND(YEAR(DecSun1+18)=CalendarYear,MONTH(DecSun1+18)=12),DecSun1+18,""),IF(AND(YEAR(DecSun1+25)=CalendarYear,MONTH(DecSun1+25)=12),DecSun1+25,""))</f>
        <v>46379</v>
      </c>
      <c r="AB82" s="12">
        <f>IF(DAY(DecSun1)=1,IF(AND(YEAR(DecSun1+19)=CalendarYear,MONTH(DecSun1+19)=12),DecSun1+19,""),IF(AND(YEAR(DecSun1+26)=CalendarYear,MONTH(DecSun1+26)=12),DecSun1+26,""))</f>
        <v>46380</v>
      </c>
      <c r="AC82" s="12">
        <f>IF(DAY(DecSun1)=1,IF(AND(YEAR(DecSun1+20)=CalendarYear,MONTH(DecSun1+20)=12),DecSun1+20,""),IF(AND(YEAR(DecSun1+27)=CalendarYear,MONTH(DecSun1+27)=12),DecSun1+27,""))</f>
        <v>46381</v>
      </c>
      <c r="AD82" s="12">
        <f>IF(DAY(DecSun1)=1,IF(AND(YEAR(DecSun1+21)=CalendarYear,MONTH(DecSun1+21)=12),DecSun1+21,""),IF(AND(YEAR(DecSun1+28)=CalendarYear,MONTH(DecSun1+28)=12),DecSun1+28,""))</f>
        <v>46382</v>
      </c>
      <c r="AE82" s="12">
        <f>IF(DAY(DecSun1)=1,IF(AND(YEAR(DecSun1+22)=CalendarYear,MONTH(DecSun1+22)=12),DecSun1+22,""),IF(AND(YEAR(DecSun1+29)=CalendarYear,MONTH(DecSun1+29)=12),DecSun1+29,""))</f>
        <v>46383</v>
      </c>
      <c r="AF82" s="12">
        <f>IF(DAY(DecSun1)=1,IF(AND(YEAR(DecSun1+23)=CalendarYear,MONTH(DecSun1+23)=12),DecSun1+23,""),IF(AND(YEAR(DecSun1+30)=CalendarYear,MONTH(DecSun1+30)=12),DecSun1+30,""))</f>
        <v>46384</v>
      </c>
      <c r="AG82" s="12">
        <f>IF(DAY(DecSun1)=1,IF(AND(YEAR(DecSun1+24)=CalendarYear,MONTH(DecSun1+24)=12),DecSun1+24,""),IF(AND(YEAR(DecSun1+31)=CalendarYear,MONTH(DecSun1+31)=12),DecSun1+31,""))</f>
        <v>46385</v>
      </c>
      <c r="AH82" s="12">
        <f>IF(DAY(DecSun1)=1,IF(AND(YEAR(DecSun1+25)=CalendarYear,MONTH(DecSun1+25)=12),DecSun1+25,""),IF(AND(YEAR(DecSun1+32)=CalendarYear,MONTH(DecSun1+32)=12),DecSun1+32,""))</f>
        <v>46386</v>
      </c>
      <c r="AI82" s="12">
        <f>IF(DAY(DecSun1)=1,IF(AND(YEAR(DecSun1+26)=CalendarYear,MONTH(DecSun1+26)=12),DecSun1+26,""),IF(AND(YEAR(DecSun1+33)=CalendarYear,MONTH(DecSun1+33)=12),DecSun1+33,""))</f>
        <v>46387</v>
      </c>
      <c r="AJ82" s="12" t="str">
        <f>IF(DAY(DecSun1)=1,IF(AND(YEAR(DecSun1+27)=CalendarYear,MONTH(DecSun1+27)=12),DecSun1+27,""),IF(AND(YEAR(DecSun1+34)=CalendarYear,MONTH(DecSun1+34)=12),DecSun1+34,""))</f>
        <v/>
      </c>
      <c r="AK82" s="12" t="str">
        <f>IF(DAY(DecSun1)=1,IF(AND(YEAR(DecSun1+28)=CalendarYear,MONTH(DecSun1+28)=12),DecSun1+28,""),IF(AND(YEAR(DecSun1+35)=CalendarYear,MONTH(DecSun1+35)=12),DecSun1+35,""))</f>
        <v/>
      </c>
      <c r="AL82" s="12" t="str">
        <f>IF(DAY(DecSun1)=1,IF(AND(YEAR(DecSun1+29)=CalendarYear,MONTH(DecSun1+29)=12),DecSun1+29,""),IF(AND(YEAR(DecSun1+36)=CalendarYear,MONTH(DecSun1+36)=12),DecSun1+36,""))</f>
        <v/>
      </c>
      <c r="AM82" s="13" t="str">
        <f>IF(DAY(DecSun1)=1,IF(AND(YEAR(DecSun1+30)=CalendarYear,MONTH(DecSun1+30)=12),DecSun1+30,""),IF(AND(YEAR(DecSun1+37)=CalendarYear,MONTH(DecSun1+37)=12),DecSun1+37,""))</f>
        <v/>
      </c>
    </row>
    <row r="83" spans="2:39" s="10" customFormat="1" ht="19.05" customHeight="1" x14ac:dyDescent="0.35">
      <c r="B83" s="66"/>
      <c r="C83" s="11" t="s">
        <v>0</v>
      </c>
      <c r="D83" s="11" t="s">
        <v>1</v>
      </c>
      <c r="E83" s="11" t="s">
        <v>2</v>
      </c>
      <c r="F83" s="11" t="s">
        <v>3</v>
      </c>
      <c r="G83" s="11" t="s">
        <v>4</v>
      </c>
      <c r="H83" s="11" t="s">
        <v>5</v>
      </c>
      <c r="I83" s="11" t="s">
        <v>6</v>
      </c>
      <c r="J83" s="11" t="s">
        <v>0</v>
      </c>
      <c r="K83" s="11" t="s">
        <v>1</v>
      </c>
      <c r="L83" s="11" t="s">
        <v>2</v>
      </c>
      <c r="M83" s="11" t="s">
        <v>3</v>
      </c>
      <c r="N83" s="11" t="s">
        <v>4</v>
      </c>
      <c r="O83" s="11" t="s">
        <v>5</v>
      </c>
      <c r="P83" s="11" t="s">
        <v>6</v>
      </c>
      <c r="Q83" s="11" t="s">
        <v>0</v>
      </c>
      <c r="R83" s="11" t="s">
        <v>1</v>
      </c>
      <c r="S83" s="11" t="s">
        <v>2</v>
      </c>
      <c r="T83" s="11" t="s">
        <v>3</v>
      </c>
      <c r="U83" s="11" t="s">
        <v>4</v>
      </c>
      <c r="V83" s="11" t="s">
        <v>5</v>
      </c>
      <c r="W83" s="11" t="s">
        <v>6</v>
      </c>
      <c r="X83" s="11" t="s">
        <v>0</v>
      </c>
      <c r="Y83" s="11" t="s">
        <v>1</v>
      </c>
      <c r="Z83" s="11" t="s">
        <v>2</v>
      </c>
      <c r="AA83" s="11" t="s">
        <v>3</v>
      </c>
      <c r="AB83" s="11" t="s">
        <v>4</v>
      </c>
      <c r="AC83" s="11" t="s">
        <v>5</v>
      </c>
      <c r="AD83" s="11" t="s">
        <v>6</v>
      </c>
      <c r="AE83" s="11" t="s">
        <v>0</v>
      </c>
      <c r="AF83" s="11" t="s">
        <v>1</v>
      </c>
      <c r="AG83" s="11" t="s">
        <v>2</v>
      </c>
      <c r="AH83" s="11" t="s">
        <v>3</v>
      </c>
      <c r="AI83" s="11" t="s">
        <v>4</v>
      </c>
      <c r="AJ83" s="11" t="s">
        <v>5</v>
      </c>
      <c r="AK83" s="11" t="s">
        <v>6</v>
      </c>
      <c r="AL83" s="11" t="s">
        <v>0</v>
      </c>
      <c r="AM83" s="14" t="s">
        <v>1</v>
      </c>
    </row>
    <row r="84" spans="2:39" ht="19.05" customHeight="1" thickBot="1" x14ac:dyDescent="0.4">
      <c r="B84" s="36" t="s">
        <v>29</v>
      </c>
      <c r="C84" s="28"/>
      <c r="D84" s="28"/>
      <c r="E84" s="28"/>
      <c r="F84" s="28"/>
      <c r="G84" s="28"/>
      <c r="H84" s="28"/>
      <c r="I84" s="28"/>
      <c r="J84" s="28"/>
      <c r="K84" s="108" t="s">
        <v>23</v>
      </c>
      <c r="L84" s="109"/>
      <c r="M84" s="109"/>
      <c r="N84" s="109"/>
      <c r="O84" s="110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</row>
    <row r="85" spans="2:39" ht="19.05" customHeight="1" thickTop="1" thickBot="1" x14ac:dyDescent="0.4">
      <c r="B85" s="47" t="s">
        <v>34</v>
      </c>
      <c r="C85" s="37"/>
      <c r="D85" s="37"/>
      <c r="E85" s="56" t="s">
        <v>30</v>
      </c>
      <c r="F85" s="57"/>
      <c r="G85" s="57"/>
      <c r="H85" s="57"/>
      <c r="I85" s="58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8"/>
    </row>
    <row r="86" spans="2:39" ht="19.05" customHeight="1" thickTop="1" x14ac:dyDescent="0.35">
      <c r="B86" s="8" t="s">
        <v>25</v>
      </c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</row>
    <row r="87" spans="2:39" ht="19.05" customHeight="1" x14ac:dyDescent="0.35">
      <c r="B87" s="9" t="s">
        <v>27</v>
      </c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26"/>
      <c r="AB87" s="26"/>
      <c r="AC87" s="25"/>
      <c r="AD87" s="25"/>
      <c r="AE87" s="26"/>
      <c r="AF87" s="26"/>
      <c r="AG87" s="26"/>
      <c r="AH87" s="26"/>
      <c r="AI87" s="26"/>
      <c r="AJ87" s="17"/>
      <c r="AK87" s="17"/>
      <c r="AL87" s="17"/>
      <c r="AM87" s="17"/>
    </row>
  </sheetData>
  <mergeCells count="39">
    <mergeCell ref="K84:O84"/>
    <mergeCell ref="S77:V77"/>
    <mergeCell ref="AF28:AI28"/>
    <mergeCell ref="Y35:AC35"/>
    <mergeCell ref="Y37:AC37"/>
    <mergeCell ref="D22:H22"/>
    <mergeCell ref="Y71:AC71"/>
    <mergeCell ref="D43:H43"/>
    <mergeCell ref="Y29:AC29"/>
    <mergeCell ref="D42:H42"/>
    <mergeCell ref="Z42:AC42"/>
    <mergeCell ref="F63:H63"/>
    <mergeCell ref="K70:O70"/>
    <mergeCell ref="R28:U28"/>
    <mergeCell ref="AH56:AJ56"/>
    <mergeCell ref="G70:H70"/>
    <mergeCell ref="AF63:AH63"/>
    <mergeCell ref="T70:V70"/>
    <mergeCell ref="AG70:AJ70"/>
    <mergeCell ref="B68:B69"/>
    <mergeCell ref="B75:B76"/>
    <mergeCell ref="B82:B83"/>
    <mergeCell ref="B33:B34"/>
    <mergeCell ref="B40:B41"/>
    <mergeCell ref="B47:B48"/>
    <mergeCell ref="B54:B55"/>
    <mergeCell ref="B61:B62"/>
    <mergeCell ref="AH1:AM1"/>
    <mergeCell ref="Y7:AC7"/>
    <mergeCell ref="L21:O21"/>
    <mergeCell ref="R21:U21"/>
    <mergeCell ref="K3:M3"/>
    <mergeCell ref="Q3:S3"/>
    <mergeCell ref="B5:B6"/>
    <mergeCell ref="B12:B13"/>
    <mergeCell ref="B19:B20"/>
    <mergeCell ref="B26:B27"/>
    <mergeCell ref="AA3:AD3"/>
    <mergeCell ref="F14:H14"/>
  </mergeCells>
  <phoneticPr fontId="15" type="noConversion"/>
  <dataValidations count="2">
    <dataValidation allowBlank="1" showInputMessage="1" showErrorMessage="1" promptTitle="Shift Work Calendar" prompt="Use the spin buttons to change the calendar year. _x000a__x000a_Calendar automatically shows daily shift schedule for up to 3 jobs. Setup the job/shift details and pattern from the Jobs and Shifts tab._x000a__x000a_Days highlighted red indicate schedule conflicts." sqref="A1" xr:uid="{00000000-0002-0000-0000-000000000000}"/>
    <dataValidation allowBlank="1" showInputMessage="1" showErrorMessage="1" prompt="Use the spin buttons to quickly change the calendar year" sqref="AH1" xr:uid="{00000000-0002-0000-0000-000001000000}"/>
  </dataValidations>
  <printOptions horizontalCentered="1" verticalCentered="1"/>
  <pageMargins left="0.3" right="0.3" top="0.3" bottom="0.3" header="0.3" footer="0.3"/>
  <pageSetup paperSize="9"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">
              <controlPr defaultSize="0" print="0" autoPict="0" altText="Use the spinner button to change calendar year or change the year in cell AE3">
                <anchor moveWithCells="1">
                  <from>
                    <xdr:col>33</xdr:col>
                    <xdr:colOff>60960</xdr:colOff>
                    <xdr:row>0</xdr:row>
                    <xdr:rowOff>320040</xdr:rowOff>
                  </from>
                  <to>
                    <xdr:col>33</xdr:col>
                    <xdr:colOff>213360</xdr:colOff>
                    <xdr:row>0</xdr:row>
                    <xdr:rowOff>624840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8422D08C252547BB1CFA7F78E2CB83" ma:contentTypeVersion="21" ma:contentTypeDescription="Create a new document." ma:contentTypeScope="" ma:versionID="70aa97d293dc1b068aad8ec574bd5b29">
  <xsd:schema xmlns:xsd="http://www.w3.org/2001/XMLSchema" xmlns:xs="http://www.w3.org/2001/XMLSchema" xmlns:p="http://schemas.microsoft.com/office/2006/metadata/properties" xmlns:ns2="4b4a1c0d-4a69-4996-a84a-fc699b9f49de" xmlns:ns3="acccb6d4-dbe5-46d2-b4d3-5733603d8cc6" xmlns:ns4="985ec44e-1bab-4c0b-9df0-6ba128686fc9" targetNamespace="http://schemas.microsoft.com/office/2006/metadata/properties" ma:root="true" ma:fieldsID="116effa8a8d4dca7515820515ac66886" ns2:_="" ns3:_="" ns4:_="">
    <xsd:import namespace="4b4a1c0d-4a69-4996-a84a-fc699b9f49de"/>
    <xsd:import namespace="acccb6d4-dbe5-46d2-b4d3-5733603d8cc6"/>
    <xsd:import namespace="985ec44e-1bab-4c0b-9df0-6ba128686fc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3:Pa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a1c0d-4a69-4996-a84a-fc699b9f49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cb6d4-dbe5-46d2-b4d3-5733603d8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8175662-8596-484a-92c7-351d01561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Path" ma:index="27" nillable="true" ma:displayName="Path" ma:internalName="Path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ec44e-1bab-4c0b-9df0-6ba128686fc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2cb41a6-c265-4598-b948-df01c7e084ec}" ma:internalName="TaxCatchAll" ma:showField="CatchAllData" ma:web="4b4a1c0d-4a69-4996-a84a-fc699b9f49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acccb6d4-dbe5-46d2-b4d3-5733603d8cc6" xsi:nil="true"/>
    <lcf76f155ced4ddcb4097134ff3c332f xmlns="acccb6d4-dbe5-46d2-b4d3-5733603d8cc6">
      <Terms xmlns="http://schemas.microsoft.com/office/infopath/2007/PartnerControls"/>
    </lcf76f155ced4ddcb4097134ff3c332f>
    <TaxCatchAll xmlns="985ec44e-1bab-4c0b-9df0-6ba128686fc9" xsi:nil="true"/>
    <Path xmlns="acccb6d4-dbe5-46d2-b4d3-5733603d8cc6" xsi:nil="true"/>
  </documentManagement>
</p:properties>
</file>

<file path=customXml/itemProps1.xml><?xml version="1.0" encoding="utf-8"?>
<ds:datastoreItem xmlns:ds="http://schemas.openxmlformats.org/officeDocument/2006/customXml" ds:itemID="{284082A6-59E9-47FE-A802-4274C54383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79BF21-44E0-4C33-A5BF-E700CC8F82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4a1c0d-4a69-4996-a84a-fc699b9f49de"/>
    <ds:schemaRef ds:uri="acccb6d4-dbe5-46d2-b4d3-5733603d8cc6"/>
    <ds:schemaRef ds:uri="985ec44e-1bab-4c0b-9df0-6ba128686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8A6C93-A69C-4202-9E10-B2DDF75C0D1E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71af3243-3dd4-4a8d-8c0d-dd76da1f02a5"/>
    <ds:schemaRef ds:uri="http://www.w3.org/XML/1998/namespace"/>
    <ds:schemaRef ds:uri="http://purl.org/dc/dcmitype/"/>
    <ds:schemaRef ds:uri="2a3fb2cc-5f38-47d7-9908-d050719f8639"/>
    <ds:schemaRef ds:uri="e81dc004-5eed-49b2-aa1a-01cff2859a94"/>
    <ds:schemaRef ds:uri="acccb6d4-dbe5-46d2-b4d3-5733603d8cc6"/>
    <ds:schemaRef ds:uri="985ec44e-1bab-4c0b-9df0-6ba128686f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TM89105255</Template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Shift Work Calendar</vt:lpstr>
      <vt:lpstr>CalendarYear</vt:lpstr>
      <vt:lpstr>Range_Dates</vt:lpstr>
      <vt:lpstr>Range_Days</vt:lpstr>
      <vt:lpstr>Range_Weekdays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2020-10-06T19:45:38Z</dcterms:created>
  <dcterms:modified xsi:type="dcterms:W3CDTF">2025-09-05T12:35:05Z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0x0101003B8422D08C252547BB1CFA7F78E2CB83</vt:lpwstr>
  </property>
  <property fmtid="{D5CDD505-2E9C-101B-9397-08002B2CF9AE}" pid="3" name="MediaServiceImageTags">
    <vt:lpwstr/>
  </property>
  <property fmtid="{D5CDD505-2E9C-101B-9397-08002B2CF9AE}" pid="5" name="gba66df640194346a5267c50f24d4797">
    <vt:lpwstr/>
  </property>
  <property fmtid="{D5CDD505-2E9C-101B-9397-08002B2CF9AE}" pid="6" name="Office_x0020_of_x0020_Origin">
    <vt:lpwstr/>
  </property>
  <property fmtid="{D5CDD505-2E9C-101B-9397-08002B2CF9AE}" pid="7" name="Office of Origin">
    <vt:lpwstr/>
  </property>
</Properties>
</file>